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hidePivotFieldList="1"/>
  <xr:revisionPtr revIDLastSave="0" documentId="13_ncr:1_{0836983D-790F-4685-B675-1A9CE02F40DC}" xr6:coauthVersionLast="47" xr6:coauthVersionMax="47" xr10:uidLastSave="{00000000-0000-0000-0000-000000000000}"/>
  <bookViews>
    <workbookView xWindow="2604" yWindow="0" windowWidth="26664" windowHeight="16656" tabRatio="601" activeTab="1" xr2:uid="{00000000-000D-0000-FFFF-FFFF00000000}"/>
  </bookViews>
  <sheets>
    <sheet name="はじめに読んでください" sheetId="22" r:id="rId1"/>
    <sheet name="管理シート（本体）" sheetId="5" r:id="rId2"/>
    <sheet name="購入実績入力" sheetId="17" r:id="rId3"/>
    <sheet name="購入実績確認" sheetId="21" r:id="rId4"/>
    <sheet name="実績報告書_R8.10" sheetId="19" r:id="rId5"/>
  </sheets>
  <definedNames>
    <definedName name="_xlnm._FilterDatabase" localSheetId="1" hidden="1">'管理シート（本体）'!$A$3:$DG$12</definedName>
    <definedName name="_xlnm.Print_Area" localSheetId="1">'管理シート（本体）'!$A$1:$DG$93</definedName>
    <definedName name="_xlnm.Print_Area" localSheetId="2">購入実績入力!$A$1:$I$25</definedName>
    <definedName name="_xlnm.Print_Area" localSheetId="4">実績報告書_R8.10!$A$1:$I$55</definedName>
    <definedName name="_xlnm.Print_Titles" localSheetId="1">'管理シート（本体）'!$9:$12</definedName>
    <definedName name="スライサー_氏名">#N/A</definedName>
    <definedName name="スライサー_対象月2">#N/A</definedName>
  </definedNames>
  <calcPr calcId="191028"/>
  <pivotCaches>
    <pivotCache cacheId="0" r:id="rId6"/>
  </pivotCaches>
  <extLst>
    <ext xmlns:x14="http://schemas.microsoft.com/office/spreadsheetml/2009/9/main" uri="{BBE1A952-AA13-448e-AADC-164F8A28A991}">
      <x14:slicerCaches>
        <x14:slicerCache r:id="rId7"/>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9" l="1"/>
  <c r="Q55" i="5"/>
  <c r="R55" i="5"/>
  <c r="M55" i="5"/>
  <c r="K55" i="5"/>
  <c r="S34" i="5"/>
  <c r="V34" i="5"/>
  <c r="X34" i="5" s="1"/>
  <c r="Y34" i="5"/>
  <c r="AG34" i="5"/>
  <c r="AI34" i="5"/>
  <c r="BB34" i="5"/>
  <c r="BC34" i="5"/>
  <c r="BD34" i="5" s="1"/>
  <c r="BH34" i="5"/>
  <c r="BI34" i="5"/>
  <c r="BJ34" i="5" s="1"/>
  <c r="BL34" i="5" s="1"/>
  <c r="BK34" i="5" s="1"/>
  <c r="BN34" i="5"/>
  <c r="BO34" i="5"/>
  <c r="BP34" i="5" s="1"/>
  <c r="BT34" i="5"/>
  <c r="BU34" i="5"/>
  <c r="BV34" i="5" s="1"/>
  <c r="BZ34" i="5"/>
  <c r="CA34" i="5"/>
  <c r="CB34" i="5" s="1"/>
  <c r="CD34" i="5" s="1"/>
  <c r="CC34" i="5" s="1"/>
  <c r="CF34" i="5"/>
  <c r="CG34" i="5"/>
  <c r="CH34" i="5" s="1"/>
  <c r="CL34" i="5"/>
  <c r="CM34" i="5"/>
  <c r="CN34" i="5" s="1"/>
  <c r="CR34" i="5"/>
  <c r="CS34" i="5"/>
  <c r="CT34" i="5" s="1"/>
  <c r="CX34" i="5"/>
  <c r="CY34" i="5"/>
  <c r="CZ34" i="5" s="1"/>
  <c r="S35" i="5"/>
  <c r="V35" i="5"/>
  <c r="X35" i="5" s="1"/>
  <c r="Y35" i="5"/>
  <c r="AG35" i="5"/>
  <c r="AI35" i="5"/>
  <c r="BB35" i="5"/>
  <c r="BC35" i="5"/>
  <c r="BD35" i="5" s="1"/>
  <c r="BF35" i="5" s="1"/>
  <c r="BH35" i="5"/>
  <c r="BI35" i="5"/>
  <c r="BJ35" i="5" s="1"/>
  <c r="BN35" i="5"/>
  <c r="BO35" i="5"/>
  <c r="BP35" i="5" s="1"/>
  <c r="BR35" i="5" s="1"/>
  <c r="BQ35" i="5" s="1"/>
  <c r="BT35" i="5"/>
  <c r="BU35" i="5"/>
  <c r="BV35" i="5" s="1"/>
  <c r="BZ35" i="5"/>
  <c r="CA35" i="5"/>
  <c r="CB35" i="5" s="1"/>
  <c r="CD35" i="5" s="1"/>
  <c r="CC35" i="5" s="1"/>
  <c r="CF35" i="5"/>
  <c r="CG35" i="5"/>
  <c r="CH35" i="5" s="1"/>
  <c r="CL35" i="5"/>
  <c r="CM35" i="5"/>
  <c r="CN35" i="5" s="1"/>
  <c r="CQ35" i="5" s="1"/>
  <c r="CR35" i="5"/>
  <c r="CS35" i="5"/>
  <c r="CT35" i="5" s="1"/>
  <c r="CX35" i="5"/>
  <c r="CY35" i="5"/>
  <c r="CZ35" i="5" s="1"/>
  <c r="S36" i="5"/>
  <c r="V36" i="5"/>
  <c r="X36" i="5"/>
  <c r="Y36" i="5"/>
  <c r="AG36" i="5"/>
  <c r="AI36" i="5"/>
  <c r="BB36" i="5"/>
  <c r="BC36" i="5"/>
  <c r="BD36" i="5" s="1"/>
  <c r="BH36" i="5"/>
  <c r="BI36" i="5"/>
  <c r="BJ36" i="5" s="1"/>
  <c r="BL36" i="5" s="1"/>
  <c r="BK36" i="5" s="1"/>
  <c r="BN36" i="5"/>
  <c r="BO36" i="5"/>
  <c r="BP36" i="5" s="1"/>
  <c r="BT36" i="5"/>
  <c r="BU36" i="5"/>
  <c r="BV36" i="5" s="1"/>
  <c r="BZ36" i="5"/>
  <c r="CA36" i="5"/>
  <c r="CB36" i="5" s="1"/>
  <c r="CF36" i="5"/>
  <c r="CG36" i="5"/>
  <c r="CH36" i="5" s="1"/>
  <c r="CL36" i="5"/>
  <c r="CM36" i="5"/>
  <c r="CN36" i="5" s="1"/>
  <c r="CR36" i="5"/>
  <c r="CS36" i="5"/>
  <c r="CT36" i="5" s="1"/>
  <c r="CX36" i="5"/>
  <c r="CY36" i="5"/>
  <c r="CZ36" i="5" s="1"/>
  <c r="S37" i="5"/>
  <c r="V37" i="5"/>
  <c r="X37" i="5"/>
  <c r="Y37" i="5"/>
  <c r="AG37" i="5"/>
  <c r="AI37" i="5"/>
  <c r="BB37" i="5"/>
  <c r="BC37" i="5"/>
  <c r="BD37" i="5" s="1"/>
  <c r="BF37" i="5" s="1"/>
  <c r="BH37" i="5"/>
  <c r="BI37" i="5"/>
  <c r="BJ37" i="5" s="1"/>
  <c r="BL37" i="5" s="1"/>
  <c r="BK37" i="5" s="1"/>
  <c r="BN37" i="5"/>
  <c r="BO37" i="5"/>
  <c r="BP37" i="5" s="1"/>
  <c r="BR37" i="5" s="1"/>
  <c r="BQ37" i="5" s="1"/>
  <c r="BT37" i="5"/>
  <c r="BU37" i="5"/>
  <c r="BV37" i="5" s="1"/>
  <c r="BZ37" i="5"/>
  <c r="CA37" i="5"/>
  <c r="CB37" i="5" s="1"/>
  <c r="CF37" i="5"/>
  <c r="CG37" i="5"/>
  <c r="CH37" i="5" s="1"/>
  <c r="CL37" i="5"/>
  <c r="CM37" i="5"/>
  <c r="CN37" i="5" s="1"/>
  <c r="CR37" i="5"/>
  <c r="CS37" i="5"/>
  <c r="CT37" i="5" s="1"/>
  <c r="CX37" i="5"/>
  <c r="CY37" i="5"/>
  <c r="CZ37" i="5" s="1"/>
  <c r="DB37" i="5" s="1"/>
  <c r="DA37" i="5" s="1"/>
  <c r="S38" i="5"/>
  <c r="V38" i="5"/>
  <c r="X38" i="5" s="1"/>
  <c r="Y38" i="5"/>
  <c r="AG38" i="5"/>
  <c r="AI38" i="5"/>
  <c r="BB38" i="5"/>
  <c r="BC38" i="5"/>
  <c r="BD38" i="5" s="1"/>
  <c r="BG38" i="5" s="1"/>
  <c r="BH38" i="5"/>
  <c r="BI38" i="5"/>
  <c r="BJ38" i="5" s="1"/>
  <c r="BN38" i="5"/>
  <c r="BO38" i="5"/>
  <c r="BP38" i="5" s="1"/>
  <c r="BT38" i="5"/>
  <c r="BU38" i="5"/>
  <c r="BV38" i="5" s="1"/>
  <c r="BZ38" i="5"/>
  <c r="CA38" i="5"/>
  <c r="CB38" i="5" s="1"/>
  <c r="CD38" i="5" s="1"/>
  <c r="CC38" i="5" s="1"/>
  <c r="CF38" i="5"/>
  <c r="CG38" i="5"/>
  <c r="CH38" i="5" s="1"/>
  <c r="CL38" i="5"/>
  <c r="CM38" i="5"/>
  <c r="CN38" i="5" s="1"/>
  <c r="CR38" i="5"/>
  <c r="CS38" i="5"/>
  <c r="CT38" i="5" s="1"/>
  <c r="CX38" i="5"/>
  <c r="CY38" i="5"/>
  <c r="CZ38" i="5" s="1"/>
  <c r="S39" i="5"/>
  <c r="V39" i="5"/>
  <c r="X39" i="5" s="1"/>
  <c r="Y39" i="5"/>
  <c r="AG39" i="5"/>
  <c r="AI39" i="5"/>
  <c r="BB39" i="5"/>
  <c r="BC39" i="5"/>
  <c r="BH39" i="5"/>
  <c r="BI39" i="5"/>
  <c r="BJ39" i="5" s="1"/>
  <c r="BL39" i="5" s="1"/>
  <c r="BK39" i="5" s="1"/>
  <c r="BN39" i="5"/>
  <c r="BO39" i="5"/>
  <c r="BP39" i="5" s="1"/>
  <c r="BT39" i="5"/>
  <c r="BU39" i="5"/>
  <c r="BV39" i="5" s="1"/>
  <c r="BZ39" i="5"/>
  <c r="CA39" i="5"/>
  <c r="CB39" i="5" s="1"/>
  <c r="CE39" i="5" s="1"/>
  <c r="CF39" i="5"/>
  <c r="CG39" i="5"/>
  <c r="CH39" i="5" s="1"/>
  <c r="CL39" i="5"/>
  <c r="CM39" i="5"/>
  <c r="CN39" i="5" s="1"/>
  <c r="CR39" i="5"/>
  <c r="CS39" i="5"/>
  <c r="CT39" i="5" s="1"/>
  <c r="CX39" i="5"/>
  <c r="CY39" i="5"/>
  <c r="CZ39" i="5" s="1"/>
  <c r="S40" i="5"/>
  <c r="V40" i="5"/>
  <c r="X40" i="5" s="1"/>
  <c r="Y40" i="5"/>
  <c r="AG40" i="5"/>
  <c r="AI40" i="5"/>
  <c r="BB40" i="5"/>
  <c r="BC40" i="5"/>
  <c r="BD40" i="5" s="1"/>
  <c r="BF40" i="5" s="1"/>
  <c r="BE40" i="5" s="1"/>
  <c r="BH40" i="5"/>
  <c r="BI40" i="5"/>
  <c r="BJ40" i="5" s="1"/>
  <c r="BL40" i="5" s="1"/>
  <c r="BK40" i="5" s="1"/>
  <c r="BN40" i="5"/>
  <c r="BO40" i="5"/>
  <c r="BP40" i="5" s="1"/>
  <c r="BT40" i="5"/>
  <c r="BU40" i="5"/>
  <c r="BV40" i="5" s="1"/>
  <c r="BZ40" i="5"/>
  <c r="CA40" i="5"/>
  <c r="CB40" i="5" s="1"/>
  <c r="CD40" i="5" s="1"/>
  <c r="CC40" i="5" s="1"/>
  <c r="CF40" i="5"/>
  <c r="CG40" i="5"/>
  <c r="CH40" i="5" s="1"/>
  <c r="CL40" i="5"/>
  <c r="CM40" i="5"/>
  <c r="CN40" i="5" s="1"/>
  <c r="CR40" i="5"/>
  <c r="CS40" i="5"/>
  <c r="CT40" i="5" s="1"/>
  <c r="CX40" i="5"/>
  <c r="CY40" i="5"/>
  <c r="CZ40" i="5" s="1"/>
  <c r="S41" i="5"/>
  <c r="V41" i="5"/>
  <c r="X41" i="5" s="1"/>
  <c r="Y41" i="5"/>
  <c r="AG41" i="5"/>
  <c r="AI41" i="5"/>
  <c r="BB41" i="5"/>
  <c r="BC41" i="5"/>
  <c r="BD41" i="5" s="1"/>
  <c r="BH41" i="5"/>
  <c r="BI41" i="5"/>
  <c r="BJ41" i="5" s="1"/>
  <c r="BL41" i="5" s="1"/>
  <c r="BK41" i="5" s="1"/>
  <c r="BN41" i="5"/>
  <c r="BO41" i="5"/>
  <c r="BP41" i="5" s="1"/>
  <c r="BS41" i="5" s="1"/>
  <c r="BT41" i="5"/>
  <c r="BU41" i="5"/>
  <c r="BV41" i="5" s="1"/>
  <c r="BZ41" i="5"/>
  <c r="CA41" i="5"/>
  <c r="CB41" i="5" s="1"/>
  <c r="CF41" i="5"/>
  <c r="CG41" i="5"/>
  <c r="CH41" i="5" s="1"/>
  <c r="CL41" i="5"/>
  <c r="CM41" i="5"/>
  <c r="CN41" i="5" s="1"/>
  <c r="CR41" i="5"/>
  <c r="CS41" i="5"/>
  <c r="CT41" i="5" s="1"/>
  <c r="CX41" i="5"/>
  <c r="CY41" i="5"/>
  <c r="CZ41" i="5" s="1"/>
  <c r="S42" i="5"/>
  <c r="V42" i="5"/>
  <c r="X42" i="5" s="1"/>
  <c r="Y42" i="5"/>
  <c r="AG42" i="5"/>
  <c r="AI42" i="5"/>
  <c r="BB42" i="5"/>
  <c r="BC42" i="5"/>
  <c r="BD42" i="5" s="1"/>
  <c r="BF42" i="5" s="1"/>
  <c r="BH42" i="5"/>
  <c r="BI42" i="5"/>
  <c r="BJ42" i="5" s="1"/>
  <c r="BL42" i="5" s="1"/>
  <c r="BK42" i="5" s="1"/>
  <c r="BN42" i="5"/>
  <c r="BO42" i="5"/>
  <c r="BP42" i="5" s="1"/>
  <c r="BT42" i="5"/>
  <c r="BU42" i="5"/>
  <c r="BV42" i="5" s="1"/>
  <c r="BZ42" i="5"/>
  <c r="CA42" i="5"/>
  <c r="CB42" i="5" s="1"/>
  <c r="CF42" i="5"/>
  <c r="CG42" i="5"/>
  <c r="CH42" i="5" s="1"/>
  <c r="CL42" i="5"/>
  <c r="CM42" i="5"/>
  <c r="CN42" i="5" s="1"/>
  <c r="CP42" i="5" s="1"/>
  <c r="CO42" i="5" s="1"/>
  <c r="CR42" i="5"/>
  <c r="CS42" i="5"/>
  <c r="CT42" i="5" s="1"/>
  <c r="CX42" i="5"/>
  <c r="CY42" i="5"/>
  <c r="CZ42" i="5" s="1"/>
  <c r="S43" i="5"/>
  <c r="V43" i="5"/>
  <c r="X43" i="5" s="1"/>
  <c r="Y43" i="5"/>
  <c r="AG43" i="5"/>
  <c r="AI43" i="5"/>
  <c r="BB43" i="5"/>
  <c r="BC43" i="5"/>
  <c r="BD43" i="5" s="1"/>
  <c r="BF43" i="5" s="1"/>
  <c r="BH43" i="5"/>
  <c r="BI43" i="5"/>
  <c r="BJ43" i="5" s="1"/>
  <c r="BN43" i="5"/>
  <c r="BO43" i="5"/>
  <c r="BP43" i="5" s="1"/>
  <c r="BT43" i="5"/>
  <c r="BU43" i="5"/>
  <c r="BV43" i="5" s="1"/>
  <c r="BZ43" i="5"/>
  <c r="CA43" i="5"/>
  <c r="CB43" i="5" s="1"/>
  <c r="CF43" i="5"/>
  <c r="CG43" i="5"/>
  <c r="CH43" i="5" s="1"/>
  <c r="CL43" i="5"/>
  <c r="CM43" i="5"/>
  <c r="CN43" i="5" s="1"/>
  <c r="CR43" i="5"/>
  <c r="CS43" i="5"/>
  <c r="CT43" i="5" s="1"/>
  <c r="CX43" i="5"/>
  <c r="CY43" i="5"/>
  <c r="CZ43" i="5" s="1"/>
  <c r="DB43" i="5" s="1"/>
  <c r="DA43" i="5" s="1"/>
  <c r="S44" i="5"/>
  <c r="V44" i="5"/>
  <c r="X44" i="5" s="1"/>
  <c r="Y44" i="5"/>
  <c r="AG44" i="5"/>
  <c r="AI44" i="5"/>
  <c r="BB44" i="5"/>
  <c r="BC44" i="5"/>
  <c r="BD44" i="5" s="1"/>
  <c r="BF44" i="5" s="1"/>
  <c r="BH44" i="5"/>
  <c r="BI44" i="5"/>
  <c r="BJ44" i="5" s="1"/>
  <c r="BN44" i="5"/>
  <c r="BO44" i="5"/>
  <c r="BT44" i="5"/>
  <c r="BU44" i="5"/>
  <c r="BV44" i="5" s="1"/>
  <c r="BZ44" i="5"/>
  <c r="CA44" i="5"/>
  <c r="CB44" i="5" s="1"/>
  <c r="CF44" i="5"/>
  <c r="CG44" i="5"/>
  <c r="CH44" i="5" s="1"/>
  <c r="CL44" i="5"/>
  <c r="CM44" i="5"/>
  <c r="CN44" i="5" s="1"/>
  <c r="CP44" i="5" s="1"/>
  <c r="CO44" i="5" s="1"/>
  <c r="CR44" i="5"/>
  <c r="CS44" i="5"/>
  <c r="CT44" i="5" s="1"/>
  <c r="CX44" i="5"/>
  <c r="CY44" i="5"/>
  <c r="CZ44" i="5" s="1"/>
  <c r="S45" i="5"/>
  <c r="V45" i="5"/>
  <c r="X45" i="5" s="1"/>
  <c r="Y45" i="5"/>
  <c r="AG45" i="5"/>
  <c r="AI45" i="5"/>
  <c r="BB45" i="5"/>
  <c r="BC45" i="5"/>
  <c r="BD45" i="5" s="1"/>
  <c r="BG45" i="5" s="1"/>
  <c r="BH45" i="5"/>
  <c r="BI45" i="5"/>
  <c r="BJ45" i="5" s="1"/>
  <c r="BN45" i="5"/>
  <c r="BO45" i="5"/>
  <c r="BP45" i="5" s="1"/>
  <c r="BT45" i="5"/>
  <c r="BU45" i="5"/>
  <c r="BV45" i="5" s="1"/>
  <c r="BZ45" i="5"/>
  <c r="CA45" i="5"/>
  <c r="CB45" i="5" s="1"/>
  <c r="CF45" i="5"/>
  <c r="CG45" i="5"/>
  <c r="CH45" i="5" s="1"/>
  <c r="CL45" i="5"/>
  <c r="CM45" i="5"/>
  <c r="CN45" i="5" s="1"/>
  <c r="CP45" i="5" s="1"/>
  <c r="CO45" i="5" s="1"/>
  <c r="CR45" i="5"/>
  <c r="CS45" i="5"/>
  <c r="CT45" i="5" s="1"/>
  <c r="CX45" i="5"/>
  <c r="CY45" i="5"/>
  <c r="CZ45" i="5" s="1"/>
  <c r="S46" i="5"/>
  <c r="V46" i="5"/>
  <c r="X46" i="5" s="1"/>
  <c r="Y46" i="5"/>
  <c r="AG46" i="5"/>
  <c r="AI46" i="5"/>
  <c r="BB46" i="5"/>
  <c r="BC46" i="5"/>
  <c r="BD46" i="5" s="1"/>
  <c r="BH46" i="5"/>
  <c r="BI46" i="5"/>
  <c r="BJ46" i="5" s="1"/>
  <c r="BN46" i="5"/>
  <c r="BO46" i="5"/>
  <c r="BP46" i="5" s="1"/>
  <c r="BT46" i="5"/>
  <c r="BU46" i="5"/>
  <c r="BV46" i="5" s="1"/>
  <c r="BZ46" i="5"/>
  <c r="CA46" i="5"/>
  <c r="CB46" i="5" s="1"/>
  <c r="CF46" i="5"/>
  <c r="CG46" i="5"/>
  <c r="CH46" i="5" s="1"/>
  <c r="CL46" i="5"/>
  <c r="CM46" i="5"/>
  <c r="CN46" i="5" s="1"/>
  <c r="CP46" i="5" s="1"/>
  <c r="CO46" i="5" s="1"/>
  <c r="CR46" i="5"/>
  <c r="CS46" i="5"/>
  <c r="CT46" i="5" s="1"/>
  <c r="CX46" i="5"/>
  <c r="CY46" i="5"/>
  <c r="CZ46" i="5" s="1"/>
  <c r="S47" i="5"/>
  <c r="V47" i="5"/>
  <c r="X47" i="5" s="1"/>
  <c r="Y47" i="5"/>
  <c r="AG47" i="5"/>
  <c r="AI47" i="5"/>
  <c r="BB47" i="5"/>
  <c r="BC47" i="5"/>
  <c r="BH47" i="5"/>
  <c r="BI47" i="5"/>
  <c r="BJ47" i="5" s="1"/>
  <c r="BN47" i="5"/>
  <c r="BO47" i="5"/>
  <c r="BP47" i="5" s="1"/>
  <c r="BR47" i="5" s="1"/>
  <c r="BQ47" i="5" s="1"/>
  <c r="BT47" i="5"/>
  <c r="BU47" i="5"/>
  <c r="BV47" i="5" s="1"/>
  <c r="BZ47" i="5"/>
  <c r="CA47" i="5"/>
  <c r="CB47" i="5" s="1"/>
  <c r="CF47" i="5"/>
  <c r="CG47" i="5"/>
  <c r="CH47" i="5" s="1"/>
  <c r="CL47" i="5"/>
  <c r="CM47" i="5"/>
  <c r="CN47" i="5" s="1"/>
  <c r="CR47" i="5"/>
  <c r="CS47" i="5"/>
  <c r="CT47" i="5" s="1"/>
  <c r="CX47" i="5"/>
  <c r="CY47" i="5"/>
  <c r="CZ47" i="5" s="1"/>
  <c r="S48" i="5"/>
  <c r="V48" i="5"/>
  <c r="X48" i="5" s="1"/>
  <c r="Y48" i="5"/>
  <c r="AG48" i="5"/>
  <c r="AI48" i="5"/>
  <c r="BB48" i="5"/>
  <c r="BC48" i="5"/>
  <c r="BD48" i="5" s="1"/>
  <c r="BH48" i="5"/>
  <c r="BI48" i="5"/>
  <c r="BJ48" i="5" s="1"/>
  <c r="BN48" i="5"/>
  <c r="BO48" i="5"/>
  <c r="BP48" i="5" s="1"/>
  <c r="BT48" i="5"/>
  <c r="BU48" i="5"/>
  <c r="BV48" i="5" s="1"/>
  <c r="BZ48" i="5"/>
  <c r="CA48" i="5"/>
  <c r="CB48" i="5" s="1"/>
  <c r="CE48" i="5" s="1"/>
  <c r="CF48" i="5"/>
  <c r="CG48" i="5"/>
  <c r="CH48" i="5" s="1"/>
  <c r="CL48" i="5"/>
  <c r="CM48" i="5"/>
  <c r="CN48" i="5" s="1"/>
  <c r="CR48" i="5"/>
  <c r="CS48" i="5"/>
  <c r="CT48" i="5" s="1"/>
  <c r="CX48" i="5"/>
  <c r="CY48" i="5"/>
  <c r="CZ48" i="5" s="1"/>
  <c r="S49" i="5"/>
  <c r="V49" i="5"/>
  <c r="X49" i="5" s="1"/>
  <c r="Y49" i="5"/>
  <c r="AG49" i="5"/>
  <c r="AI49" i="5"/>
  <c r="BB49" i="5"/>
  <c r="BC49" i="5"/>
  <c r="BD49" i="5" s="1"/>
  <c r="BH49" i="5"/>
  <c r="BI49" i="5"/>
  <c r="BJ49" i="5" s="1"/>
  <c r="BN49" i="5"/>
  <c r="BO49" i="5"/>
  <c r="BP49" i="5" s="1"/>
  <c r="BR49" i="5" s="1"/>
  <c r="BQ49" i="5" s="1"/>
  <c r="BT49" i="5"/>
  <c r="BU49" i="5"/>
  <c r="BV49" i="5" s="1"/>
  <c r="BZ49" i="5"/>
  <c r="CA49" i="5"/>
  <c r="CB49" i="5" s="1"/>
  <c r="CE49" i="5" s="1"/>
  <c r="CF49" i="5"/>
  <c r="CG49" i="5"/>
  <c r="CH49" i="5" s="1"/>
  <c r="CL49" i="5"/>
  <c r="CM49" i="5"/>
  <c r="CN49" i="5" s="1"/>
  <c r="CR49" i="5"/>
  <c r="CS49" i="5"/>
  <c r="CT49" i="5" s="1"/>
  <c r="CX49" i="5"/>
  <c r="CY49" i="5"/>
  <c r="CZ49" i="5" s="1"/>
  <c r="S50" i="5"/>
  <c r="V50" i="5"/>
  <c r="X50" i="5" s="1"/>
  <c r="Y50" i="5"/>
  <c r="AG50" i="5"/>
  <c r="AI50" i="5"/>
  <c r="BB50" i="5"/>
  <c r="BC50" i="5"/>
  <c r="BD50" i="5" s="1"/>
  <c r="BF50" i="5" s="1"/>
  <c r="BH50" i="5"/>
  <c r="BI50" i="5"/>
  <c r="BJ50" i="5" s="1"/>
  <c r="BN50" i="5"/>
  <c r="BO50" i="5"/>
  <c r="BP50" i="5" s="1"/>
  <c r="BS50" i="5" s="1"/>
  <c r="BT50" i="5"/>
  <c r="BU50" i="5"/>
  <c r="BV50" i="5" s="1"/>
  <c r="BZ50" i="5"/>
  <c r="CA50" i="5"/>
  <c r="CB50" i="5" s="1"/>
  <c r="CD50" i="5" s="1"/>
  <c r="CC50" i="5" s="1"/>
  <c r="CF50" i="5"/>
  <c r="CG50" i="5"/>
  <c r="CH50" i="5" s="1"/>
  <c r="CL50" i="5"/>
  <c r="CM50" i="5"/>
  <c r="CN50" i="5" s="1"/>
  <c r="CR50" i="5"/>
  <c r="CS50" i="5"/>
  <c r="CT50" i="5" s="1"/>
  <c r="CX50" i="5"/>
  <c r="CY50" i="5"/>
  <c r="CZ50" i="5" s="1"/>
  <c r="S51" i="5"/>
  <c r="V51" i="5"/>
  <c r="X51" i="5" s="1"/>
  <c r="Y51" i="5"/>
  <c r="AG51" i="5"/>
  <c r="AI51" i="5"/>
  <c r="BB51" i="5"/>
  <c r="BC51" i="5"/>
  <c r="BD51" i="5" s="1"/>
  <c r="BH51" i="5"/>
  <c r="BI51" i="5"/>
  <c r="BJ51" i="5" s="1"/>
  <c r="BN51" i="5"/>
  <c r="BO51" i="5"/>
  <c r="BP51" i="5" s="1"/>
  <c r="BT51" i="5"/>
  <c r="BU51" i="5"/>
  <c r="BV51" i="5" s="1"/>
  <c r="BZ51" i="5"/>
  <c r="CA51" i="5"/>
  <c r="CB51" i="5" s="1"/>
  <c r="CF51" i="5"/>
  <c r="CG51" i="5"/>
  <c r="CH51" i="5" s="1"/>
  <c r="CL51" i="5"/>
  <c r="CM51" i="5"/>
  <c r="CN51" i="5" s="1"/>
  <c r="CQ51" i="5" s="1"/>
  <c r="CR51" i="5"/>
  <c r="CS51" i="5"/>
  <c r="CT51" i="5" s="1"/>
  <c r="CX51" i="5"/>
  <c r="CY51" i="5"/>
  <c r="CZ51" i="5" s="1"/>
  <c r="S52" i="5"/>
  <c r="V52" i="5"/>
  <c r="X52" i="5" s="1"/>
  <c r="Y52" i="5"/>
  <c r="AG52" i="5"/>
  <c r="AI52" i="5"/>
  <c r="BB52" i="5"/>
  <c r="BC52" i="5"/>
  <c r="BD52" i="5" s="1"/>
  <c r="BH52" i="5"/>
  <c r="BI52" i="5"/>
  <c r="BJ52" i="5" s="1"/>
  <c r="BN52" i="5"/>
  <c r="BO52" i="5"/>
  <c r="BP52" i="5" s="1"/>
  <c r="BT52" i="5"/>
  <c r="BU52" i="5"/>
  <c r="BV52" i="5" s="1"/>
  <c r="BZ52" i="5"/>
  <c r="CA52" i="5"/>
  <c r="CB52" i="5" s="1"/>
  <c r="CF52" i="5"/>
  <c r="CG52" i="5"/>
  <c r="CH52" i="5" s="1"/>
  <c r="CJ52" i="5" s="1"/>
  <c r="CI52" i="5" s="1"/>
  <c r="CL52" i="5"/>
  <c r="CM52" i="5"/>
  <c r="CN52" i="5" s="1"/>
  <c r="CQ52" i="5" s="1"/>
  <c r="CR52" i="5"/>
  <c r="CS52" i="5"/>
  <c r="CT52" i="5" s="1"/>
  <c r="CX52" i="5"/>
  <c r="CY52" i="5"/>
  <c r="CZ52" i="5" s="1"/>
  <c r="S53" i="5"/>
  <c r="V53" i="5"/>
  <c r="X53" i="5"/>
  <c r="Y53" i="5"/>
  <c r="AG53" i="5"/>
  <c r="AI53" i="5"/>
  <c r="BB53" i="5"/>
  <c r="BC53" i="5"/>
  <c r="BD53" i="5" s="1"/>
  <c r="BF53" i="5" s="1"/>
  <c r="BH53" i="5"/>
  <c r="BI53" i="5"/>
  <c r="BJ53" i="5" s="1"/>
  <c r="BN53" i="5"/>
  <c r="BO53" i="5"/>
  <c r="BP53" i="5" s="1"/>
  <c r="BT53" i="5"/>
  <c r="BU53" i="5"/>
  <c r="BV53" i="5" s="1"/>
  <c r="BZ53" i="5"/>
  <c r="CA53" i="5"/>
  <c r="CB53" i="5" s="1"/>
  <c r="CD53" i="5" s="1"/>
  <c r="CC53" i="5" s="1"/>
  <c r="CF53" i="5"/>
  <c r="CG53" i="5"/>
  <c r="CH53" i="5" s="1"/>
  <c r="CK53" i="5" s="1"/>
  <c r="CL53" i="5"/>
  <c r="CM53" i="5"/>
  <c r="CN53" i="5" s="1"/>
  <c r="CP53" i="5" s="1"/>
  <c r="CO53" i="5" s="1"/>
  <c r="CR53" i="5"/>
  <c r="CS53" i="5"/>
  <c r="CT53" i="5" s="1"/>
  <c r="CV53" i="5" s="1"/>
  <c r="CU53" i="5" s="1"/>
  <c r="CX53" i="5"/>
  <c r="CY53" i="5"/>
  <c r="CZ53" i="5" s="1"/>
  <c r="B39" i="19"/>
  <c r="E39" i="19" s="1"/>
  <c r="B36" i="19"/>
  <c r="E36" i="19" s="1"/>
  <c r="B37" i="19"/>
  <c r="F37" i="19" s="1"/>
  <c r="B38" i="19"/>
  <c r="F38" i="19" s="1"/>
  <c r="B35" i="19"/>
  <c r="F35" i="19" s="1"/>
  <c r="S31" i="5"/>
  <c r="V31" i="5"/>
  <c r="X31" i="5"/>
  <c r="Y31" i="5"/>
  <c r="AG31" i="5"/>
  <c r="AI31" i="5"/>
  <c r="BB31" i="5"/>
  <c r="BC31" i="5"/>
  <c r="BD31" i="5" s="1"/>
  <c r="BH31" i="5"/>
  <c r="BI31" i="5"/>
  <c r="BJ31" i="5" s="1"/>
  <c r="BN31" i="5"/>
  <c r="BO31" i="5"/>
  <c r="BP31" i="5" s="1"/>
  <c r="BT31" i="5"/>
  <c r="BU31" i="5"/>
  <c r="BV31" i="5" s="1"/>
  <c r="BZ31" i="5"/>
  <c r="CA31" i="5"/>
  <c r="CB31" i="5" s="1"/>
  <c r="CF31" i="5"/>
  <c r="CG31" i="5"/>
  <c r="CH31" i="5" s="1"/>
  <c r="CL31" i="5"/>
  <c r="CM31" i="5"/>
  <c r="CN31" i="5" s="1"/>
  <c r="CR31" i="5"/>
  <c r="CS31" i="5"/>
  <c r="CT31" i="5" s="1"/>
  <c r="CX31" i="5"/>
  <c r="CY31" i="5"/>
  <c r="CZ31" i="5" s="1"/>
  <c r="S32" i="5"/>
  <c r="V32" i="5"/>
  <c r="X32" i="5" s="1"/>
  <c r="Y32" i="5"/>
  <c r="AG32" i="5"/>
  <c r="AI32" i="5"/>
  <c r="BB32" i="5"/>
  <c r="BC32" i="5"/>
  <c r="BD32" i="5" s="1"/>
  <c r="BH32" i="5"/>
  <c r="BI32" i="5"/>
  <c r="BJ32" i="5" s="1"/>
  <c r="BN32" i="5"/>
  <c r="BO32" i="5"/>
  <c r="BP32" i="5" s="1"/>
  <c r="BT32" i="5"/>
  <c r="BU32" i="5"/>
  <c r="BV32" i="5" s="1"/>
  <c r="BZ32" i="5"/>
  <c r="CA32" i="5"/>
  <c r="CB32" i="5" s="1"/>
  <c r="CF32" i="5"/>
  <c r="CG32" i="5"/>
  <c r="CH32" i="5" s="1"/>
  <c r="CL32" i="5"/>
  <c r="CM32" i="5"/>
  <c r="CN32" i="5" s="1"/>
  <c r="CR32" i="5"/>
  <c r="CS32" i="5"/>
  <c r="CT32" i="5" s="1"/>
  <c r="CX32" i="5"/>
  <c r="CY32" i="5"/>
  <c r="CZ32" i="5" s="1"/>
  <c r="S33" i="5"/>
  <c r="V33" i="5"/>
  <c r="X33" i="5" s="1"/>
  <c r="Y33" i="5"/>
  <c r="AG33" i="5"/>
  <c r="AI33" i="5"/>
  <c r="BB33" i="5"/>
  <c r="BC33" i="5"/>
  <c r="BD33" i="5" s="1"/>
  <c r="BH33" i="5"/>
  <c r="BI33" i="5"/>
  <c r="BJ33" i="5" s="1"/>
  <c r="BN33" i="5"/>
  <c r="BO33" i="5"/>
  <c r="BP33" i="5" s="1"/>
  <c r="BT33" i="5"/>
  <c r="BU33" i="5"/>
  <c r="BV33" i="5" s="1"/>
  <c r="BZ33" i="5"/>
  <c r="CA33" i="5"/>
  <c r="CB33" i="5" s="1"/>
  <c r="CF33" i="5"/>
  <c r="CG33" i="5"/>
  <c r="CH33" i="5" s="1"/>
  <c r="CL33" i="5"/>
  <c r="CM33" i="5"/>
  <c r="CN33" i="5" s="1"/>
  <c r="CR33" i="5"/>
  <c r="CS33" i="5"/>
  <c r="CT33" i="5" s="1"/>
  <c r="CX33" i="5"/>
  <c r="CY33" i="5"/>
  <c r="CZ33" i="5" s="1"/>
  <c r="R3" i="17" a="1"/>
  <c r="R3" i="17" s="1"/>
  <c r="BS51" i="5" l="1"/>
  <c r="CQ47" i="5"/>
  <c r="CD43" i="5"/>
  <c r="CC43" i="5" s="1"/>
  <c r="BR39" i="5"/>
  <c r="BQ39" i="5" s="1"/>
  <c r="BL35" i="5"/>
  <c r="BK35" i="5" s="1"/>
  <c r="CP32" i="5"/>
  <c r="CO32" i="5" s="1"/>
  <c r="BF32" i="5"/>
  <c r="BE32" i="5" s="1"/>
  <c r="BR53" i="5"/>
  <c r="BQ53" i="5" s="1"/>
  <c r="BR52" i="5"/>
  <c r="BQ52" i="5" s="1"/>
  <c r="BL38" i="5"/>
  <c r="BK38" i="5" s="1"/>
  <c r="CP34" i="5"/>
  <c r="CO34" i="5" s="1"/>
  <c r="BF34" i="5"/>
  <c r="BE34" i="5" s="1"/>
  <c r="DB53" i="5"/>
  <c r="DA53" i="5" s="1"/>
  <c r="DC53" i="5"/>
  <c r="BG43" i="5"/>
  <c r="BG34" i="5"/>
  <c r="BF52" i="5"/>
  <c r="BE52" i="5" s="1"/>
  <c r="BG52" i="5"/>
  <c r="DB44" i="5"/>
  <c r="DA44" i="5" s="1"/>
  <c r="DC44" i="5"/>
  <c r="BR50" i="5"/>
  <c r="BQ50" i="5" s="1"/>
  <c r="CE44" i="5"/>
  <c r="CD44" i="5"/>
  <c r="CC44" i="5" s="1"/>
  <c r="BG41" i="5"/>
  <c r="BF41" i="5"/>
  <c r="BE41" i="5" s="1"/>
  <c r="DB40" i="5"/>
  <c r="DA40" i="5" s="1"/>
  <c r="DC40" i="5"/>
  <c r="DB39" i="5"/>
  <c r="DA39" i="5" s="1"/>
  <c r="DC39" i="5"/>
  <c r="CD46" i="5"/>
  <c r="CC46" i="5" s="1"/>
  <c r="CE46" i="5"/>
  <c r="CQ37" i="5"/>
  <c r="CP37" i="5"/>
  <c r="CO37" i="5" s="1"/>
  <c r="DG40" i="5"/>
  <c r="CQ45" i="5"/>
  <c r="CD39" i="5"/>
  <c r="CC39" i="5" s="1"/>
  <c r="BR51" i="5"/>
  <c r="BQ51" i="5" s="1"/>
  <c r="DB48" i="5"/>
  <c r="DA48" i="5" s="1"/>
  <c r="DC48" i="5"/>
  <c r="CP36" i="5"/>
  <c r="CO36" i="5" s="1"/>
  <c r="CQ36" i="5"/>
  <c r="BR34" i="5"/>
  <c r="BQ34" i="5" s="1"/>
  <c r="BS34" i="5"/>
  <c r="DC51" i="5"/>
  <c r="DB51" i="5"/>
  <c r="DA51" i="5" s="1"/>
  <c r="BG44" i="5"/>
  <c r="CP35" i="5"/>
  <c r="CO35" i="5" s="1"/>
  <c r="BL43" i="5"/>
  <c r="BK43" i="5" s="1"/>
  <c r="CE43" i="5"/>
  <c r="CQ42" i="5"/>
  <c r="CP47" i="5"/>
  <c r="CO47" i="5" s="1"/>
  <c r="CV52" i="5"/>
  <c r="CU52" i="5" s="1"/>
  <c r="DG44" i="5"/>
  <c r="CJ53" i="5"/>
  <c r="CI53" i="5" s="1"/>
  <c r="BG42" i="5"/>
  <c r="CQ34" i="5"/>
  <c r="DG35" i="5"/>
  <c r="H38" i="19"/>
  <c r="G38" i="19"/>
  <c r="E38" i="19"/>
  <c r="BF36" i="5"/>
  <c r="BE36" i="5" s="1"/>
  <c r="BG36" i="5"/>
  <c r="DB36" i="5"/>
  <c r="DA36" i="5" s="1"/>
  <c r="DC36" i="5"/>
  <c r="DC50" i="5"/>
  <c r="DB50" i="5"/>
  <c r="DA50" i="5" s="1"/>
  <c r="CQ40" i="5"/>
  <c r="CP40" i="5"/>
  <c r="CO40" i="5" s="1"/>
  <c r="CE45" i="5"/>
  <c r="CD45" i="5"/>
  <c r="CC45" i="5" s="1"/>
  <c r="DC52" i="5"/>
  <c r="DB52" i="5"/>
  <c r="DA52" i="5" s="1"/>
  <c r="DC49" i="5"/>
  <c r="DB49" i="5"/>
  <c r="DA49" i="5" s="1"/>
  <c r="DB35" i="5"/>
  <c r="DA35" i="5" s="1"/>
  <c r="DC35" i="5"/>
  <c r="CQ43" i="5"/>
  <c r="CP43" i="5"/>
  <c r="CO43" i="5" s="1"/>
  <c r="DB34" i="5"/>
  <c r="DA34" i="5" s="1"/>
  <c r="DC34" i="5"/>
  <c r="BR40" i="5"/>
  <c r="BQ40" i="5" s="1"/>
  <c r="BS40" i="5"/>
  <c r="CP41" i="5"/>
  <c r="CO41" i="5" s="1"/>
  <c r="CQ41" i="5"/>
  <c r="DC47" i="5"/>
  <c r="DB47" i="5"/>
  <c r="DA47" i="5" s="1"/>
  <c r="CD47" i="5"/>
  <c r="CC47" i="5" s="1"/>
  <c r="CE47" i="5"/>
  <c r="DG51" i="5"/>
  <c r="BF51" i="5"/>
  <c r="BE51" i="5" s="1"/>
  <c r="BL44" i="5"/>
  <c r="BK44" i="5" s="1"/>
  <c r="CE40" i="5"/>
  <c r="BS47" i="5"/>
  <c r="BG40" i="5"/>
  <c r="CE53" i="5"/>
  <c r="CP51" i="5"/>
  <c r="CO51" i="5" s="1"/>
  <c r="BL45" i="5"/>
  <c r="BK45" i="5" s="1"/>
  <c r="BL52" i="5"/>
  <c r="BK52" i="5" s="1"/>
  <c r="DG34" i="5"/>
  <c r="BM36" i="5"/>
  <c r="CE50" i="5"/>
  <c r="BL48" i="5"/>
  <c r="BK48" i="5" s="1"/>
  <c r="BM37" i="5"/>
  <c r="DG36" i="5"/>
  <c r="DG41" i="5"/>
  <c r="CK52" i="5"/>
  <c r="DG53" i="5"/>
  <c r="BS49" i="5"/>
  <c r="BF45" i="5"/>
  <c r="BE45" i="5" s="1"/>
  <c r="BG37" i="5"/>
  <c r="CE35" i="5"/>
  <c r="BM35" i="5"/>
  <c r="BL49" i="5"/>
  <c r="BK49" i="5" s="1"/>
  <c r="BF38" i="5"/>
  <c r="BE38" i="5" s="1"/>
  <c r="CW53" i="5"/>
  <c r="BS52" i="5"/>
  <c r="BP44" i="5"/>
  <c r="BR44" i="5" s="1"/>
  <c r="BQ44" i="5" s="1"/>
  <c r="BR41" i="5"/>
  <c r="BQ41" i="5" s="1"/>
  <c r="DG37" i="5"/>
  <c r="BG35" i="5"/>
  <c r="F36" i="19"/>
  <c r="G36" i="19"/>
  <c r="E37" i="19"/>
  <c r="BE35" i="5"/>
  <c r="BR48" i="5"/>
  <c r="BQ48" i="5" s="1"/>
  <c r="BS48" i="5"/>
  <c r="CP50" i="5"/>
  <c r="CO50" i="5" s="1"/>
  <c r="CQ50" i="5"/>
  <c r="BS46" i="5"/>
  <c r="CV42" i="5"/>
  <c r="CU42" i="5" s="1"/>
  <c r="CW42" i="5"/>
  <c r="BX36" i="5"/>
  <c r="BW36" i="5" s="1"/>
  <c r="BY36" i="5"/>
  <c r="BX34" i="5"/>
  <c r="BW34" i="5" s="1"/>
  <c r="BY34" i="5"/>
  <c r="BE53" i="5"/>
  <c r="CV43" i="5"/>
  <c r="CU43" i="5" s="1"/>
  <c r="CW43" i="5"/>
  <c r="BR36" i="5"/>
  <c r="BQ36" i="5" s="1"/>
  <c r="BS36" i="5"/>
  <c r="BY53" i="5"/>
  <c r="BX53" i="5"/>
  <c r="BW53" i="5" s="1"/>
  <c r="DG48" i="5"/>
  <c r="CV44" i="5"/>
  <c r="CU44" i="5" s="1"/>
  <c r="CW44" i="5"/>
  <c r="BS53" i="5"/>
  <c r="BX50" i="5"/>
  <c r="BW50" i="5" s="1"/>
  <c r="BY50" i="5"/>
  <c r="DG50" i="5"/>
  <c r="DG49" i="5"/>
  <c r="BG48" i="5"/>
  <c r="BF48" i="5"/>
  <c r="DG46" i="5"/>
  <c r="CQ44" i="5"/>
  <c r="BD39" i="5"/>
  <c r="BF39" i="5" s="1"/>
  <c r="DG39" i="5"/>
  <c r="CP38" i="5"/>
  <c r="CO38" i="5" s="1"/>
  <c r="CQ38" i="5"/>
  <c r="BG53" i="5"/>
  <c r="BG50" i="5"/>
  <c r="BX49" i="5"/>
  <c r="BW49" i="5" s="1"/>
  <c r="BY49" i="5"/>
  <c r="BF49" i="5"/>
  <c r="BG49" i="5"/>
  <c r="BX48" i="5"/>
  <c r="BW48" i="5" s="1"/>
  <c r="BY48" i="5"/>
  <c r="BD47" i="5"/>
  <c r="BG47" i="5" s="1"/>
  <c r="DG47" i="5"/>
  <c r="CV46" i="5"/>
  <c r="CU46" i="5" s="1"/>
  <c r="CW46" i="5"/>
  <c r="BF46" i="5"/>
  <c r="BG46" i="5"/>
  <c r="CD51" i="5"/>
  <c r="CC51" i="5" s="1"/>
  <c r="CE51" i="5"/>
  <c r="BE42" i="5"/>
  <c r="DB45" i="5"/>
  <c r="DA45" i="5" s="1"/>
  <c r="DC45" i="5"/>
  <c r="CJ39" i="5"/>
  <c r="CI39" i="5" s="1"/>
  <c r="CK39" i="5"/>
  <c r="CV41" i="5"/>
  <c r="CU41" i="5" s="1"/>
  <c r="CW41" i="5"/>
  <c r="BR42" i="5"/>
  <c r="BQ42" i="5" s="1"/>
  <c r="BS42" i="5"/>
  <c r="BX40" i="5"/>
  <c r="BY40" i="5"/>
  <c r="BR38" i="5"/>
  <c r="BQ38" i="5" s="1"/>
  <c r="BS38" i="5"/>
  <c r="CD37" i="5"/>
  <c r="CC37" i="5" s="1"/>
  <c r="CE37" i="5"/>
  <c r="CJ48" i="5"/>
  <c r="CI48" i="5" s="1"/>
  <c r="CK48" i="5"/>
  <c r="BE44" i="5"/>
  <c r="CE42" i="5"/>
  <c r="CD41" i="5"/>
  <c r="CC41" i="5" s="1"/>
  <c r="CE41" i="5"/>
  <c r="BE50" i="5"/>
  <c r="CD49" i="5"/>
  <c r="CC49" i="5" s="1"/>
  <c r="CD48" i="5"/>
  <c r="CC48" i="5" s="1"/>
  <c r="BE37" i="5"/>
  <c r="DB41" i="5"/>
  <c r="DA41" i="5" s="1"/>
  <c r="DC41" i="5"/>
  <c r="DB46" i="5"/>
  <c r="DA46" i="5" s="1"/>
  <c r="DC46" i="5"/>
  <c r="BE43" i="5"/>
  <c r="CP48" i="5"/>
  <c r="CO48" i="5" s="1"/>
  <c r="CQ48" i="5"/>
  <c r="DG43" i="5"/>
  <c r="DG42" i="5"/>
  <c r="CP39" i="5"/>
  <c r="CO39" i="5" s="1"/>
  <c r="CQ39" i="5"/>
  <c r="BS39" i="5"/>
  <c r="CE38" i="5"/>
  <c r="BM38" i="5"/>
  <c r="CJ46" i="5"/>
  <c r="CI46" i="5" s="1"/>
  <c r="CK46" i="5"/>
  <c r="DB38" i="5"/>
  <c r="DA38" i="5" s="1"/>
  <c r="DC38" i="5"/>
  <c r="CJ49" i="5"/>
  <c r="CI49" i="5" s="1"/>
  <c r="CK49" i="5"/>
  <c r="CJ47" i="5"/>
  <c r="CI47" i="5" s="1"/>
  <c r="CK47" i="5"/>
  <c r="DG45" i="5"/>
  <c r="CV36" i="5"/>
  <c r="CU36" i="5" s="1"/>
  <c r="CW36" i="5"/>
  <c r="BX51" i="5"/>
  <c r="BW51" i="5" s="1"/>
  <c r="BY51" i="5"/>
  <c r="CV45" i="5"/>
  <c r="CU45" i="5" s="1"/>
  <c r="CW45" i="5"/>
  <c r="CV38" i="5"/>
  <c r="CU38" i="5" s="1"/>
  <c r="CW38" i="5"/>
  <c r="CD52" i="5"/>
  <c r="CC52" i="5" s="1"/>
  <c r="CE52" i="5"/>
  <c r="DG52" i="5"/>
  <c r="CP49" i="5"/>
  <c r="CO49" i="5" s="1"/>
  <c r="CQ49" i="5"/>
  <c r="CJ38" i="5"/>
  <c r="CI38" i="5" s="1"/>
  <c r="CK38" i="5"/>
  <c r="BG51" i="5"/>
  <c r="BR46" i="5"/>
  <c r="BQ46" i="5" s="1"/>
  <c r="CJ45" i="5"/>
  <c r="CI45" i="5" s="1"/>
  <c r="CK45" i="5"/>
  <c r="BR45" i="5"/>
  <c r="BQ45" i="5" s="1"/>
  <c r="BS45" i="5"/>
  <c r="BR43" i="5"/>
  <c r="BQ43" i="5" s="1"/>
  <c r="BS43" i="5"/>
  <c r="BM42" i="5"/>
  <c r="BM41" i="5"/>
  <c r="BX35" i="5"/>
  <c r="BW35" i="5" s="1"/>
  <c r="BY35" i="5"/>
  <c r="CP52" i="5"/>
  <c r="CO52" i="5" s="1"/>
  <c r="BX52" i="5"/>
  <c r="BW52" i="5" s="1"/>
  <c r="BY52" i="5"/>
  <c r="CJ44" i="5"/>
  <c r="CI44" i="5" s="1"/>
  <c r="CK44" i="5"/>
  <c r="DB42" i="5"/>
  <c r="DA42" i="5" s="1"/>
  <c r="DC42" i="5"/>
  <c r="CD42" i="5"/>
  <c r="CC42" i="5" s="1"/>
  <c r="CV37" i="5"/>
  <c r="CU37" i="5" s="1"/>
  <c r="CW37" i="5"/>
  <c r="CD36" i="5"/>
  <c r="CC36" i="5" s="1"/>
  <c r="CE36" i="5"/>
  <c r="BS35" i="5"/>
  <c r="BX41" i="5"/>
  <c r="BW41" i="5" s="1"/>
  <c r="BY41" i="5"/>
  <c r="BX37" i="5"/>
  <c r="BW37" i="5" s="1"/>
  <c r="BY37" i="5"/>
  <c r="CQ53" i="5"/>
  <c r="CJ50" i="5"/>
  <c r="CI50" i="5" s="1"/>
  <c r="CK50" i="5"/>
  <c r="CV47" i="5"/>
  <c r="CU47" i="5" s="1"/>
  <c r="CW47" i="5"/>
  <c r="CQ46" i="5"/>
  <c r="BL46" i="5"/>
  <c r="BK46" i="5" s="1"/>
  <c r="BX42" i="5"/>
  <c r="BW42" i="5" s="1"/>
  <c r="BY42" i="5"/>
  <c r="CJ40" i="5"/>
  <c r="CI40" i="5" s="1"/>
  <c r="CK40" i="5"/>
  <c r="BS37" i="5"/>
  <c r="CJ34" i="5"/>
  <c r="CI34" i="5" s="1"/>
  <c r="CK34" i="5"/>
  <c r="H36" i="19"/>
  <c r="CJ51" i="5"/>
  <c r="CI51" i="5" s="1"/>
  <c r="CK51" i="5"/>
  <c r="CV48" i="5"/>
  <c r="CU48" i="5" s="1"/>
  <c r="CW48" i="5"/>
  <c r="BL47" i="5"/>
  <c r="BK47" i="5" s="1"/>
  <c r="DC43" i="5"/>
  <c r="BX43" i="5"/>
  <c r="BW43" i="5" s="1"/>
  <c r="BY43" i="5"/>
  <c r="CV39" i="5"/>
  <c r="CU39" i="5" s="1"/>
  <c r="CW39" i="5"/>
  <c r="BM39" i="5"/>
  <c r="DG38" i="5"/>
  <c r="DC37" i="5"/>
  <c r="CJ35" i="5"/>
  <c r="CI35" i="5" s="1"/>
  <c r="CK35" i="5"/>
  <c r="CE34" i="5"/>
  <c r="CV49" i="5"/>
  <c r="CU49" i="5" s="1"/>
  <c r="CW49" i="5"/>
  <c r="BX44" i="5"/>
  <c r="BW44" i="5" s="1"/>
  <c r="BY44" i="5"/>
  <c r="BX38" i="5"/>
  <c r="BW38" i="5" s="1"/>
  <c r="BY38" i="5"/>
  <c r="CJ36" i="5"/>
  <c r="CI36" i="5" s="1"/>
  <c r="CK36" i="5"/>
  <c r="BX45" i="5"/>
  <c r="BW45" i="5" s="1"/>
  <c r="BY45" i="5"/>
  <c r="CJ41" i="5"/>
  <c r="CI41" i="5" s="1"/>
  <c r="CK41" i="5"/>
  <c r="CJ37" i="5"/>
  <c r="CI37" i="5" s="1"/>
  <c r="CK37" i="5"/>
  <c r="CV50" i="5"/>
  <c r="CU50" i="5" s="1"/>
  <c r="CW50" i="5"/>
  <c r="BX46" i="5"/>
  <c r="BW46" i="5" s="1"/>
  <c r="BY46" i="5"/>
  <c r="CV40" i="5"/>
  <c r="CU40" i="5" s="1"/>
  <c r="CW40" i="5"/>
  <c r="BM40" i="5"/>
  <c r="CV34" i="5"/>
  <c r="CU34" i="5" s="1"/>
  <c r="CW34" i="5"/>
  <c r="BL53" i="5"/>
  <c r="CW52" i="5"/>
  <c r="CV51" i="5"/>
  <c r="CU51" i="5" s="1"/>
  <c r="CW51" i="5"/>
  <c r="BL50" i="5"/>
  <c r="BK50" i="5" s="1"/>
  <c r="CJ42" i="5"/>
  <c r="CI42" i="5" s="1"/>
  <c r="CK42" i="5"/>
  <c r="BL51" i="5"/>
  <c r="BK51" i="5" s="1"/>
  <c r="BX47" i="5"/>
  <c r="BW47" i="5" s="1"/>
  <c r="BY47" i="5"/>
  <c r="CJ43" i="5"/>
  <c r="CI43" i="5" s="1"/>
  <c r="CK43" i="5"/>
  <c r="BX39" i="5"/>
  <c r="BW39" i="5" s="1"/>
  <c r="BY39" i="5"/>
  <c r="CV35" i="5"/>
  <c r="CU35" i="5" s="1"/>
  <c r="CW35" i="5"/>
  <c r="BM53" i="5"/>
  <c r="BM52" i="5"/>
  <c r="BM51" i="5"/>
  <c r="BM50" i="5"/>
  <c r="BM49" i="5"/>
  <c r="BM48" i="5"/>
  <c r="BM47" i="5"/>
  <c r="BM46" i="5"/>
  <c r="BM45" i="5"/>
  <c r="BM44" i="5"/>
  <c r="BM43" i="5"/>
  <c r="BM34" i="5"/>
  <c r="H39" i="19"/>
  <c r="G39" i="19"/>
  <c r="G35" i="19"/>
  <c r="F39" i="19"/>
  <c r="E35" i="19"/>
  <c r="G37" i="19"/>
  <c r="H37" i="19"/>
  <c r="H35" i="19"/>
  <c r="DB31" i="5"/>
  <c r="DA31" i="5" s="1"/>
  <c r="DC31" i="5"/>
  <c r="BG32" i="5"/>
  <c r="BR31" i="5"/>
  <c r="BQ31" i="5" s="1"/>
  <c r="BS31" i="5"/>
  <c r="CP31" i="5"/>
  <c r="CO31" i="5" s="1"/>
  <c r="CQ31" i="5"/>
  <c r="BL31" i="5"/>
  <c r="BK31" i="5" s="1"/>
  <c r="BM31" i="5"/>
  <c r="BR32" i="5"/>
  <c r="BQ32" i="5" s="1"/>
  <c r="BS32" i="5"/>
  <c r="BG31" i="5"/>
  <c r="BF31" i="5"/>
  <c r="BE31" i="5" s="1"/>
  <c r="CD31" i="5"/>
  <c r="CC31" i="5" s="1"/>
  <c r="CE31" i="5"/>
  <c r="DB32" i="5"/>
  <c r="DA32" i="5" s="1"/>
  <c r="DC32" i="5"/>
  <c r="BX31" i="5"/>
  <c r="BW31" i="5" s="1"/>
  <c r="DG31" i="5"/>
  <c r="CQ32" i="5"/>
  <c r="CD32" i="5"/>
  <c r="CC32" i="5" s="1"/>
  <c r="CJ31" i="5"/>
  <c r="CI31" i="5" s="1"/>
  <c r="BF33" i="5"/>
  <c r="BE33" i="5" s="1"/>
  <c r="CV31" i="5"/>
  <c r="CU31" i="5" s="1"/>
  <c r="BL32" i="5"/>
  <c r="BK32" i="5" s="1"/>
  <c r="BY31" i="5"/>
  <c r="CW31" i="5"/>
  <c r="CK31" i="5"/>
  <c r="BG33" i="5"/>
  <c r="CE32" i="5"/>
  <c r="CP33" i="5"/>
  <c r="CO33" i="5" s="1"/>
  <c r="BX32" i="5"/>
  <c r="BW32" i="5" s="1"/>
  <c r="CV32" i="5"/>
  <c r="CU32" i="5" s="1"/>
  <c r="DC33" i="5"/>
  <c r="DB33" i="5"/>
  <c r="DA33" i="5" s="1"/>
  <c r="BR33" i="5"/>
  <c r="BQ33" i="5" s="1"/>
  <c r="CJ32" i="5"/>
  <c r="CI32" i="5" s="1"/>
  <c r="BS33" i="5"/>
  <c r="BY32" i="5"/>
  <c r="BM32" i="5"/>
  <c r="CQ33" i="5"/>
  <c r="CW32" i="5"/>
  <c r="CK32" i="5"/>
  <c r="DG32" i="5"/>
  <c r="BL33" i="5"/>
  <c r="BK33" i="5" s="1"/>
  <c r="CV33" i="5"/>
  <c r="CU33" i="5" s="1"/>
  <c r="CJ33" i="5"/>
  <c r="CI33" i="5" s="1"/>
  <c r="CD33" i="5"/>
  <c r="CC33" i="5" s="1"/>
  <c r="CE33" i="5"/>
  <c r="BX33" i="5"/>
  <c r="BW33" i="5" s="1"/>
  <c r="DG33" i="5"/>
  <c r="BY33" i="5"/>
  <c r="BM33" i="5"/>
  <c r="CW33" i="5"/>
  <c r="CK33" i="5"/>
  <c r="BG39" i="5" l="1"/>
  <c r="BF47" i="5"/>
  <c r="DD53" i="5"/>
  <c r="DE53" i="5" s="1"/>
  <c r="BK53" i="5"/>
  <c r="DD34" i="5"/>
  <c r="DE34" i="5" s="1"/>
  <c r="BS44" i="5"/>
  <c r="DD50" i="5"/>
  <c r="DE50" i="5" s="1"/>
  <c r="DD46" i="5"/>
  <c r="DE46" i="5" s="1"/>
  <c r="BE46" i="5"/>
  <c r="DD43" i="5"/>
  <c r="DE43" i="5" s="1"/>
  <c r="DD52" i="5"/>
  <c r="DE52" i="5" s="1"/>
  <c r="DD36" i="5"/>
  <c r="DE36" i="5" s="1"/>
  <c r="DD44" i="5"/>
  <c r="DE44" i="5" s="1"/>
  <c r="DD38" i="5"/>
  <c r="DE38" i="5" s="1"/>
  <c r="DD41" i="5"/>
  <c r="DE41" i="5" s="1"/>
  <c r="BE49" i="5"/>
  <c r="DD49" i="5"/>
  <c r="DE49" i="5" s="1"/>
  <c r="BW40" i="5"/>
  <c r="DD40" i="5"/>
  <c r="DE40" i="5" s="1"/>
  <c r="BE39" i="5"/>
  <c r="DD39" i="5"/>
  <c r="DE39" i="5" s="1"/>
  <c r="DD37" i="5"/>
  <c r="DE37" i="5" s="1"/>
  <c r="DD47" i="5"/>
  <c r="DE47" i="5" s="1"/>
  <c r="BE47" i="5"/>
  <c r="DD42" i="5"/>
  <c r="DE42" i="5" s="1"/>
  <c r="DD51" i="5"/>
  <c r="DE51" i="5" s="1"/>
  <c r="DD45" i="5"/>
  <c r="DE45" i="5" s="1"/>
  <c r="BE48" i="5"/>
  <c r="DD48" i="5"/>
  <c r="DE48" i="5" s="1"/>
  <c r="DD35" i="5"/>
  <c r="DE35" i="5" s="1"/>
  <c r="DD31" i="5"/>
  <c r="DE31" i="5" s="1"/>
  <c r="DD33" i="5"/>
  <c r="DE33" i="5" s="1"/>
  <c r="DD32" i="5"/>
  <c r="DE32" i="5" s="1"/>
  <c r="Z60" i="5" l="1"/>
  <c r="AA60" i="5"/>
  <c r="AB60" i="5"/>
  <c r="AC60" i="5"/>
  <c r="F23" i="17"/>
  <c r="F7" i="17"/>
  <c r="F8" i="17"/>
  <c r="F9" i="17"/>
  <c r="F10" i="17"/>
  <c r="F11" i="17"/>
  <c r="F12" i="17"/>
  <c r="F13" i="17"/>
  <c r="F14" i="17"/>
  <c r="F15" i="17"/>
  <c r="F16" i="17"/>
  <c r="F17" i="17"/>
  <c r="F18" i="17"/>
  <c r="F19" i="17"/>
  <c r="F20" i="17"/>
  <c r="F21" i="17"/>
  <c r="F22" i="17"/>
  <c r="AD60" i="5" l="1"/>
  <c r="F4" i="17"/>
  <c r="F5" i="17"/>
  <c r="F6" i="17"/>
  <c r="AI14" i="5"/>
  <c r="AG14" i="5"/>
  <c r="Y14" i="5"/>
  <c r="B21" i="19" l="1"/>
  <c r="G21" i="19" s="1"/>
  <c r="B22" i="19"/>
  <c r="B23" i="19"/>
  <c r="B24" i="19"/>
  <c r="F24" i="19" s="1"/>
  <c r="B25" i="19"/>
  <c r="G25" i="19" s="1"/>
  <c r="B26" i="19"/>
  <c r="B27" i="19"/>
  <c r="AI15" i="5"/>
  <c r="AI16" i="5"/>
  <c r="AI17" i="5"/>
  <c r="AI18" i="5"/>
  <c r="AI19" i="5"/>
  <c r="AI20" i="5"/>
  <c r="AI21" i="5"/>
  <c r="AI22" i="5"/>
  <c r="AI23" i="5"/>
  <c r="AI24" i="5"/>
  <c r="AI25" i="5"/>
  <c r="AI26" i="5"/>
  <c r="AI27" i="5"/>
  <c r="AI28" i="5"/>
  <c r="AI29" i="5"/>
  <c r="AI30" i="5"/>
  <c r="AI54" i="5"/>
  <c r="AG15" i="5"/>
  <c r="AG16" i="5"/>
  <c r="AG17" i="5"/>
  <c r="AG18" i="5"/>
  <c r="AG19" i="5"/>
  <c r="AG20" i="5"/>
  <c r="AG21" i="5"/>
  <c r="AG22" i="5"/>
  <c r="AG23" i="5"/>
  <c r="AG24" i="5"/>
  <c r="AG25" i="5"/>
  <c r="AG26" i="5"/>
  <c r="AG27" i="5"/>
  <c r="AG28" i="5"/>
  <c r="AG29" i="5"/>
  <c r="AG30" i="5"/>
  <c r="AG54" i="5"/>
  <c r="AG55" i="5" l="1"/>
  <c r="AE60" i="5" s="1"/>
  <c r="H24" i="19"/>
  <c r="G24" i="19"/>
  <c r="H21" i="19"/>
  <c r="F22" i="19"/>
  <c r="H27" i="19"/>
  <c r="E25" i="19"/>
  <c r="H26" i="19"/>
  <c r="H23" i="19"/>
  <c r="G26" i="19"/>
  <c r="G23" i="19"/>
  <c r="F23" i="19"/>
  <c r="H25" i="19"/>
  <c r="H22" i="19"/>
  <c r="F27" i="19"/>
  <c r="P55" i="5"/>
  <c r="V23" i="5"/>
  <c r="AQ55" i="5" l="1"/>
  <c r="F54" i="5" l="1"/>
  <c r="DC73" i="5" l="1"/>
  <c r="DB73" i="5"/>
  <c r="DC71" i="5"/>
  <c r="DB71" i="5"/>
  <c r="DA71" i="5"/>
  <c r="DC70" i="5"/>
  <c r="DB70" i="5"/>
  <c r="DA70" i="5"/>
  <c r="CZ70" i="5"/>
  <c r="DC91" i="5"/>
  <c r="DB91" i="5"/>
  <c r="DC89" i="5"/>
  <c r="DB89" i="5"/>
  <c r="DA89" i="5"/>
  <c r="DC88" i="5"/>
  <c r="DB88" i="5"/>
  <c r="DA88" i="5"/>
  <c r="CZ88" i="5"/>
  <c r="DC82" i="5"/>
  <c r="DB82" i="5"/>
  <c r="DC80" i="5"/>
  <c r="DB80" i="5"/>
  <c r="DA80" i="5"/>
  <c r="DC79" i="5"/>
  <c r="DB79" i="5"/>
  <c r="DA79" i="5"/>
  <c r="CZ79" i="5"/>
  <c r="CW82" i="5"/>
  <c r="CV82" i="5"/>
  <c r="CW80" i="5"/>
  <c r="CV80" i="5"/>
  <c r="CU80" i="5"/>
  <c r="CW79" i="5"/>
  <c r="CV79" i="5"/>
  <c r="CU79" i="5"/>
  <c r="CT79" i="5"/>
  <c r="CW91" i="5"/>
  <c r="CV91" i="5"/>
  <c r="CW89" i="5"/>
  <c r="CV89" i="5"/>
  <c r="CU89" i="5"/>
  <c r="CW88" i="5"/>
  <c r="CV88" i="5"/>
  <c r="CU88" i="5"/>
  <c r="CT88" i="5"/>
  <c r="CW73" i="5"/>
  <c r="CV73" i="5"/>
  <c r="CW71" i="5"/>
  <c r="CV71" i="5"/>
  <c r="CU71" i="5"/>
  <c r="CW70" i="5"/>
  <c r="CV70" i="5"/>
  <c r="CU70" i="5"/>
  <c r="CT70" i="5"/>
  <c r="CQ73" i="5"/>
  <c r="CP73" i="5"/>
  <c r="CQ71" i="5"/>
  <c r="CP71" i="5"/>
  <c r="CO71" i="5"/>
  <c r="CQ70" i="5"/>
  <c r="CP70" i="5"/>
  <c r="CO70" i="5"/>
  <c r="CN70" i="5"/>
  <c r="CQ91" i="5"/>
  <c r="CP91" i="5"/>
  <c r="CQ89" i="5"/>
  <c r="CP89" i="5"/>
  <c r="CO89" i="5"/>
  <c r="CQ88" i="5"/>
  <c r="CP88" i="5"/>
  <c r="CO88" i="5"/>
  <c r="CN88" i="5"/>
  <c r="CQ82" i="5"/>
  <c r="CP82" i="5"/>
  <c r="CQ80" i="5"/>
  <c r="CP80" i="5"/>
  <c r="CO80" i="5"/>
  <c r="CQ79" i="5"/>
  <c r="CP79" i="5"/>
  <c r="CO79" i="5"/>
  <c r="CN79" i="5"/>
  <c r="CK82" i="5"/>
  <c r="CJ82" i="5"/>
  <c r="CK80" i="5"/>
  <c r="CJ80" i="5"/>
  <c r="CI80" i="5"/>
  <c r="CK79" i="5"/>
  <c r="CJ79" i="5"/>
  <c r="CI79" i="5"/>
  <c r="CH79" i="5"/>
  <c r="CK91" i="5"/>
  <c r="CJ91" i="5"/>
  <c r="CK89" i="5"/>
  <c r="CJ89" i="5"/>
  <c r="CI89" i="5"/>
  <c r="CK88" i="5"/>
  <c r="CJ88" i="5"/>
  <c r="CI88" i="5"/>
  <c r="CH88" i="5"/>
  <c r="CK73" i="5"/>
  <c r="CJ73" i="5"/>
  <c r="CK71" i="5"/>
  <c r="CJ71" i="5"/>
  <c r="CI71" i="5"/>
  <c r="CK70" i="5"/>
  <c r="CJ70" i="5"/>
  <c r="CI70" i="5"/>
  <c r="CH70" i="5"/>
  <c r="CE73" i="5"/>
  <c r="CD73" i="5"/>
  <c r="CE71" i="5"/>
  <c r="CD71" i="5"/>
  <c r="CC71" i="5"/>
  <c r="CE70" i="5"/>
  <c r="CD70" i="5"/>
  <c r="CC70" i="5"/>
  <c r="CB70" i="5"/>
  <c r="CE91" i="5"/>
  <c r="CD91" i="5"/>
  <c r="CE89" i="5"/>
  <c r="CD89" i="5"/>
  <c r="CC89" i="5"/>
  <c r="CE88" i="5"/>
  <c r="CD88" i="5"/>
  <c r="CC88" i="5"/>
  <c r="CB88" i="5"/>
  <c r="CE82" i="5"/>
  <c r="CD82" i="5"/>
  <c r="CE80" i="5"/>
  <c r="CD80" i="5"/>
  <c r="CC80" i="5"/>
  <c r="CE79" i="5"/>
  <c r="CD79" i="5"/>
  <c r="CC79" i="5"/>
  <c r="CB79" i="5"/>
  <c r="BY82" i="5"/>
  <c r="BX82" i="5"/>
  <c r="BY80" i="5"/>
  <c r="BX80" i="5"/>
  <c r="BW80" i="5"/>
  <c r="BY79" i="5"/>
  <c r="BX79" i="5"/>
  <c r="BW79" i="5"/>
  <c r="BV79" i="5"/>
  <c r="BY91" i="5"/>
  <c r="BX91" i="5"/>
  <c r="BY89" i="5"/>
  <c r="BX89" i="5"/>
  <c r="BW89" i="5"/>
  <c r="BY88" i="5"/>
  <c r="BX88" i="5"/>
  <c r="BW88" i="5"/>
  <c r="BV88" i="5"/>
  <c r="BY73" i="5"/>
  <c r="BX73" i="5"/>
  <c r="BY71" i="5"/>
  <c r="BX71" i="5"/>
  <c r="BW71" i="5"/>
  <c r="BY70" i="5"/>
  <c r="BX70" i="5"/>
  <c r="BW70" i="5"/>
  <c r="BV70" i="5"/>
  <c r="BS73" i="5"/>
  <c r="BR73" i="5"/>
  <c r="BS71" i="5"/>
  <c r="BR71" i="5"/>
  <c r="BQ71" i="5"/>
  <c r="BS70" i="5"/>
  <c r="BR70" i="5"/>
  <c r="BQ70" i="5"/>
  <c r="BP70" i="5"/>
  <c r="BS91" i="5"/>
  <c r="BR91" i="5"/>
  <c r="BS89" i="5"/>
  <c r="BR89" i="5"/>
  <c r="BQ89" i="5"/>
  <c r="BS88" i="5"/>
  <c r="BR88" i="5"/>
  <c r="BQ88" i="5"/>
  <c r="BP88" i="5"/>
  <c r="BS82" i="5"/>
  <c r="BR82" i="5"/>
  <c r="BS80" i="5"/>
  <c r="BR80" i="5"/>
  <c r="BQ80" i="5"/>
  <c r="BS79" i="5"/>
  <c r="BR79" i="5"/>
  <c r="BQ79" i="5"/>
  <c r="BP79" i="5"/>
  <c r="BM82" i="5"/>
  <c r="BL82" i="5"/>
  <c r="BM80" i="5"/>
  <c r="BL80" i="5"/>
  <c r="BK80" i="5"/>
  <c r="BM79" i="5"/>
  <c r="BL79" i="5"/>
  <c r="BK79" i="5"/>
  <c r="BJ79" i="5"/>
  <c r="BM91" i="5"/>
  <c r="BL91" i="5"/>
  <c r="BM89" i="5"/>
  <c r="BL89" i="5"/>
  <c r="BK89" i="5"/>
  <c r="BM88" i="5"/>
  <c r="BL88" i="5"/>
  <c r="BK88" i="5"/>
  <c r="BJ88" i="5"/>
  <c r="BM73" i="5"/>
  <c r="BL73" i="5"/>
  <c r="BM71" i="5"/>
  <c r="BL71" i="5"/>
  <c r="BK71" i="5"/>
  <c r="BM70" i="5"/>
  <c r="BL70" i="5"/>
  <c r="BK70" i="5"/>
  <c r="BJ70" i="5"/>
  <c r="BE89" i="5"/>
  <c r="BE80" i="5"/>
  <c r="BF89" i="5"/>
  <c r="BG89" i="5"/>
  <c r="BF91" i="5"/>
  <c r="BG91" i="5"/>
  <c r="BE88" i="5"/>
  <c r="BF88" i="5"/>
  <c r="BG88" i="5"/>
  <c r="BD88" i="5"/>
  <c r="BF80" i="5"/>
  <c r="BG80" i="5"/>
  <c r="BF82" i="5"/>
  <c r="BG82" i="5"/>
  <c r="BE79" i="5"/>
  <c r="BF79" i="5"/>
  <c r="BG79" i="5"/>
  <c r="BD79" i="5"/>
  <c r="BE71" i="5"/>
  <c r="BF71" i="5"/>
  <c r="BG71" i="5"/>
  <c r="BF73" i="5"/>
  <c r="BG73" i="5"/>
  <c r="BE70" i="5"/>
  <c r="BF70" i="5"/>
  <c r="BG70" i="5"/>
  <c r="BD70" i="5"/>
  <c r="U61" i="5"/>
  <c r="V61" i="5"/>
  <c r="W61" i="5"/>
  <c r="X61" i="5"/>
  <c r="U62" i="5"/>
  <c r="V62" i="5"/>
  <c r="W62" i="5"/>
  <c r="X62" i="5"/>
  <c r="U63" i="5"/>
  <c r="V63" i="5"/>
  <c r="W63" i="5"/>
  <c r="X63" i="5"/>
  <c r="V60" i="5"/>
  <c r="W60" i="5"/>
  <c r="X60" i="5"/>
  <c r="U60" i="5"/>
  <c r="O61" i="5"/>
  <c r="P61" i="5"/>
  <c r="Q61" i="5"/>
  <c r="R61" i="5"/>
  <c r="O62" i="5"/>
  <c r="P62" i="5"/>
  <c r="Q62" i="5"/>
  <c r="R62" i="5"/>
  <c r="O63" i="5"/>
  <c r="P63" i="5"/>
  <c r="Q63" i="5"/>
  <c r="R63" i="5"/>
  <c r="P60" i="5"/>
  <c r="Q60" i="5"/>
  <c r="R60" i="5"/>
  <c r="O60" i="5"/>
  <c r="A16" i="5" l="1"/>
  <c r="B16" i="5"/>
  <c r="C16" i="5"/>
  <c r="D16" i="5"/>
  <c r="E16" i="5"/>
  <c r="F16" i="5"/>
  <c r="G16" i="5"/>
  <c r="H16" i="5"/>
  <c r="A17" i="5"/>
  <c r="B17" i="5"/>
  <c r="C17" i="5"/>
  <c r="D17" i="5"/>
  <c r="E17" i="5"/>
  <c r="F17" i="5"/>
  <c r="G17" i="5"/>
  <c r="H17" i="5"/>
  <c r="A18" i="5"/>
  <c r="B18" i="5"/>
  <c r="C18" i="5"/>
  <c r="D18" i="5"/>
  <c r="E18" i="5"/>
  <c r="F18" i="5"/>
  <c r="G18" i="5"/>
  <c r="H18" i="5"/>
  <c r="A19" i="5"/>
  <c r="B19" i="5"/>
  <c r="C19" i="5"/>
  <c r="D19" i="5"/>
  <c r="E19" i="5"/>
  <c r="F19" i="5"/>
  <c r="G19" i="5"/>
  <c r="H19" i="5"/>
  <c r="A20" i="5"/>
  <c r="B20" i="5"/>
  <c r="C20" i="5"/>
  <c r="D20" i="5"/>
  <c r="E20" i="5"/>
  <c r="F20" i="5"/>
  <c r="G20" i="5"/>
  <c r="H20" i="5"/>
  <c r="A21" i="5"/>
  <c r="B21" i="5"/>
  <c r="C21" i="5"/>
  <c r="D21" i="5"/>
  <c r="E21" i="5"/>
  <c r="F21" i="5"/>
  <c r="G21" i="5"/>
  <c r="H21" i="5"/>
  <c r="A22" i="5"/>
  <c r="B22" i="5"/>
  <c r="C22" i="5"/>
  <c r="D22" i="5"/>
  <c r="E22" i="5"/>
  <c r="F22" i="5"/>
  <c r="G22" i="5"/>
  <c r="H22" i="5"/>
  <c r="A23" i="5"/>
  <c r="B23" i="5"/>
  <c r="C23" i="5"/>
  <c r="D23" i="5"/>
  <c r="E23" i="5"/>
  <c r="F23" i="5"/>
  <c r="G23" i="5"/>
  <c r="H23" i="5"/>
  <c r="A24" i="5"/>
  <c r="B24" i="5"/>
  <c r="C24" i="5"/>
  <c r="D24" i="5"/>
  <c r="E24" i="5"/>
  <c r="F24" i="5"/>
  <c r="G24" i="5"/>
  <c r="H24" i="5"/>
  <c r="A25" i="5"/>
  <c r="B25" i="5"/>
  <c r="C25" i="5"/>
  <c r="D25" i="5"/>
  <c r="E25" i="5"/>
  <c r="F25" i="5"/>
  <c r="G25" i="5"/>
  <c r="H25" i="5"/>
  <c r="A26" i="5"/>
  <c r="B26" i="5"/>
  <c r="C26" i="5"/>
  <c r="D26" i="5"/>
  <c r="E26" i="5"/>
  <c r="F26" i="5"/>
  <c r="G26" i="5"/>
  <c r="H26" i="5"/>
  <c r="A27" i="5"/>
  <c r="B27" i="5"/>
  <c r="C27" i="5"/>
  <c r="D27" i="5"/>
  <c r="E27" i="5"/>
  <c r="F27" i="5"/>
  <c r="G27" i="5"/>
  <c r="H27" i="5"/>
  <c r="A28" i="5"/>
  <c r="B28" i="5"/>
  <c r="C28" i="5"/>
  <c r="D28" i="5"/>
  <c r="E28" i="5"/>
  <c r="F28" i="5"/>
  <c r="G28" i="5"/>
  <c r="H28" i="5"/>
  <c r="A29" i="5"/>
  <c r="B29" i="5"/>
  <c r="C29" i="5"/>
  <c r="D29" i="5"/>
  <c r="E29" i="5"/>
  <c r="F29" i="5"/>
  <c r="G29" i="5"/>
  <c r="H29" i="5"/>
  <c r="A30" i="5"/>
  <c r="B30" i="5"/>
  <c r="C30" i="5"/>
  <c r="D30" i="5"/>
  <c r="E30" i="5"/>
  <c r="F30" i="5"/>
  <c r="G30" i="5"/>
  <c r="H30" i="5"/>
  <c r="A54" i="5"/>
  <c r="B54" i="5"/>
  <c r="C54" i="5"/>
  <c r="D54" i="5"/>
  <c r="E54" i="5"/>
  <c r="G54" i="5"/>
  <c r="H54" i="5"/>
  <c r="S54" i="5"/>
  <c r="V54" i="5"/>
  <c r="X54" i="5" s="1"/>
  <c r="Y54" i="5"/>
  <c r="BB54" i="5"/>
  <c r="BC54" i="5"/>
  <c r="BH54" i="5"/>
  <c r="BI54" i="5"/>
  <c r="BJ54" i="5" s="1"/>
  <c r="BN54" i="5"/>
  <c r="BO54" i="5"/>
  <c r="BT54" i="5"/>
  <c r="BU54" i="5"/>
  <c r="BZ54" i="5"/>
  <c r="CA54" i="5"/>
  <c r="CB54" i="5" s="1"/>
  <c r="CF54" i="5"/>
  <c r="CG54" i="5"/>
  <c r="CH54" i="5" s="1"/>
  <c r="CL54" i="5"/>
  <c r="CM54" i="5"/>
  <c r="CN54" i="5" s="1"/>
  <c r="CR54" i="5"/>
  <c r="CS54" i="5"/>
  <c r="CT54" i="5" s="1"/>
  <c r="CX54" i="5"/>
  <c r="CY54" i="5"/>
  <c r="CZ54" i="5" s="1"/>
  <c r="B15" i="5"/>
  <c r="C15" i="5"/>
  <c r="D15" i="5"/>
  <c r="E15" i="5"/>
  <c r="F15" i="5"/>
  <c r="G15" i="5"/>
  <c r="H15" i="5"/>
  <c r="AJ55" i="5"/>
  <c r="AK55" i="5"/>
  <c r="AL55" i="5"/>
  <c r="AM55" i="5"/>
  <c r="AN55" i="5"/>
  <c r="AO55" i="5"/>
  <c r="AP55" i="5"/>
  <c r="AR55" i="5"/>
  <c r="AS55" i="5"/>
  <c r="AT55" i="5"/>
  <c r="AU55" i="5"/>
  <c r="AV55" i="5"/>
  <c r="AW55" i="5"/>
  <c r="AX55" i="5"/>
  <c r="AY55" i="5"/>
  <c r="AZ55" i="5"/>
  <c r="BA55" i="5"/>
  <c r="U55" i="5"/>
  <c r="W55" i="5"/>
  <c r="Z55" i="5"/>
  <c r="AA55" i="5"/>
  <c r="AB55" i="5"/>
  <c r="AC55" i="5"/>
  <c r="AD55" i="5"/>
  <c r="AE55" i="5"/>
  <c r="AF55" i="5"/>
  <c r="AH55" i="5"/>
  <c r="A15" i="5"/>
  <c r="I55" i="5"/>
  <c r="AC64" i="5"/>
  <c r="AB64" i="5"/>
  <c r="AA64" i="5"/>
  <c r="Z64" i="5"/>
  <c r="S30" i="5"/>
  <c r="V30" i="5"/>
  <c r="X30" i="5" s="1"/>
  <c r="Y30" i="5"/>
  <c r="BB30" i="5"/>
  <c r="BC30" i="5"/>
  <c r="BD30" i="5" s="1"/>
  <c r="BH30" i="5"/>
  <c r="BI30" i="5"/>
  <c r="BJ30" i="5" s="1"/>
  <c r="BN30" i="5"/>
  <c r="BO30" i="5"/>
  <c r="BT30" i="5"/>
  <c r="BU30" i="5"/>
  <c r="BZ30" i="5"/>
  <c r="CA30" i="5"/>
  <c r="CB30" i="5" s="1"/>
  <c r="CF30" i="5"/>
  <c r="CG30" i="5"/>
  <c r="CH30" i="5" s="1"/>
  <c r="CL30" i="5"/>
  <c r="CM30" i="5"/>
  <c r="CN30" i="5" s="1"/>
  <c r="CR30" i="5"/>
  <c r="CS30" i="5"/>
  <c r="CT30" i="5" s="1"/>
  <c r="CX30" i="5"/>
  <c r="CY30" i="5"/>
  <c r="CZ30" i="5" s="1"/>
  <c r="BV30" i="5" l="1"/>
  <c r="BY30" i="5" s="1"/>
  <c r="BV54" i="5"/>
  <c r="BY54" i="5" s="1"/>
  <c r="BP30" i="5"/>
  <c r="BS30" i="5" s="1"/>
  <c r="BP54" i="5"/>
  <c r="BS54" i="5" s="1"/>
  <c r="BL30" i="5"/>
  <c r="AS56" i="5"/>
  <c r="AD64" i="5"/>
  <c r="AV56" i="5"/>
  <c r="AQ56" i="5"/>
  <c r="AN56" i="5"/>
  <c r="CP54" i="5"/>
  <c r="CV54" i="5"/>
  <c r="CE54" i="5"/>
  <c r="CD54" i="5"/>
  <c r="CW54" i="5"/>
  <c r="CQ54" i="5"/>
  <c r="CJ54" i="5"/>
  <c r="CK54" i="5"/>
  <c r="BD54" i="5"/>
  <c r="DG54" i="5"/>
  <c r="BM54" i="5"/>
  <c r="BL54" i="5"/>
  <c r="DC54" i="5"/>
  <c r="DB54" i="5"/>
  <c r="DA54" i="5" s="1"/>
  <c r="CV30" i="5"/>
  <c r="DB30" i="5"/>
  <c r="CJ30" i="5"/>
  <c r="BM30" i="5"/>
  <c r="CW30" i="5"/>
  <c r="CD30" i="5"/>
  <c r="CK30" i="5"/>
  <c r="CP30" i="5"/>
  <c r="BF30" i="5"/>
  <c r="BG30" i="5"/>
  <c r="DC30" i="5"/>
  <c r="CQ30" i="5"/>
  <c r="CE30" i="5"/>
  <c r="DG30" i="5"/>
  <c r="B30" i="19"/>
  <c r="B31" i="19"/>
  <c r="B20" i="19"/>
  <c r="B28" i="19"/>
  <c r="B29" i="19"/>
  <c r="B34" i="19"/>
  <c r="B19" i="19"/>
  <c r="B32" i="19"/>
  <c r="B33" i="19"/>
  <c r="B18" i="19"/>
  <c r="CY14" i="5"/>
  <c r="CY15" i="5"/>
  <c r="CY16" i="5"/>
  <c r="CY17" i="5"/>
  <c r="CZ80" i="5" s="1"/>
  <c r="CY18" i="5"/>
  <c r="CY19" i="5"/>
  <c r="CY20" i="5"/>
  <c r="CY21" i="5"/>
  <c r="CY22" i="5"/>
  <c r="CY23" i="5"/>
  <c r="CY24" i="5"/>
  <c r="CY25" i="5"/>
  <c r="DC81" i="5" s="1"/>
  <c r="DC83" i="5" s="1"/>
  <c r="CY26" i="5"/>
  <c r="CY27" i="5"/>
  <c r="CY28" i="5"/>
  <c r="CY29" i="5"/>
  <c r="CS14" i="5"/>
  <c r="CS15" i="5"/>
  <c r="CS16" i="5"/>
  <c r="CS17" i="5"/>
  <c r="CT80" i="5" s="1"/>
  <c r="CS18" i="5"/>
  <c r="CS19" i="5"/>
  <c r="CS20" i="5"/>
  <c r="CS21" i="5"/>
  <c r="CS22" i="5"/>
  <c r="CS23" i="5"/>
  <c r="CS24" i="5"/>
  <c r="CS25" i="5"/>
  <c r="CW81" i="5" s="1"/>
  <c r="CW83" i="5" s="1"/>
  <c r="CS26" i="5"/>
  <c r="CS27" i="5"/>
  <c r="CS28" i="5"/>
  <c r="CS29" i="5"/>
  <c r="CM14" i="5"/>
  <c r="CM15" i="5"/>
  <c r="CM16" i="5"/>
  <c r="CM17" i="5"/>
  <c r="CN80" i="5" s="1"/>
  <c r="CM18" i="5"/>
  <c r="CM19" i="5"/>
  <c r="CM20" i="5"/>
  <c r="CM21" i="5"/>
  <c r="CM22" i="5"/>
  <c r="CM23" i="5"/>
  <c r="CM24" i="5"/>
  <c r="CM25" i="5"/>
  <c r="CQ81" i="5" s="1"/>
  <c r="CQ83" i="5" s="1"/>
  <c r="CM26" i="5"/>
  <c r="CM27" i="5"/>
  <c r="CM28" i="5"/>
  <c r="CM29" i="5"/>
  <c r="CG14" i="5"/>
  <c r="CG15" i="5"/>
  <c r="CG16" i="5"/>
  <c r="CG17" i="5"/>
  <c r="CH80" i="5" s="1"/>
  <c r="CG18" i="5"/>
  <c r="CG19" i="5"/>
  <c r="CG20" i="5"/>
  <c r="CG21" i="5"/>
  <c r="CG22" i="5"/>
  <c r="CG23" i="5"/>
  <c r="CG24" i="5"/>
  <c r="CG25" i="5"/>
  <c r="CK81" i="5" s="1"/>
  <c r="CK83" i="5" s="1"/>
  <c r="CG26" i="5"/>
  <c r="CG27" i="5"/>
  <c r="CG28" i="5"/>
  <c r="CG29" i="5"/>
  <c r="CA14" i="5"/>
  <c r="CA15" i="5"/>
  <c r="CA16" i="5"/>
  <c r="CA17" i="5"/>
  <c r="CB80" i="5" s="1"/>
  <c r="CA18" i="5"/>
  <c r="CA19" i="5"/>
  <c r="CA20" i="5"/>
  <c r="CA21" i="5"/>
  <c r="CA22" i="5"/>
  <c r="CA23" i="5"/>
  <c r="CA24" i="5"/>
  <c r="CA25" i="5"/>
  <c r="CE81" i="5" s="1"/>
  <c r="CE83" i="5" s="1"/>
  <c r="CA26" i="5"/>
  <c r="CA27" i="5"/>
  <c r="CA28" i="5"/>
  <c r="CA29" i="5"/>
  <c r="BU14" i="5"/>
  <c r="BU15" i="5"/>
  <c r="BU16" i="5"/>
  <c r="BU17" i="5"/>
  <c r="BU18" i="5"/>
  <c r="BU19" i="5"/>
  <c r="BU20" i="5"/>
  <c r="BU21" i="5"/>
  <c r="BU22" i="5"/>
  <c r="BU23" i="5"/>
  <c r="BU24" i="5"/>
  <c r="BU25" i="5"/>
  <c r="BU26" i="5"/>
  <c r="BU27" i="5"/>
  <c r="BU28" i="5"/>
  <c r="BU29" i="5"/>
  <c r="BR30" i="5" l="1"/>
  <c r="BQ30" i="5" s="1"/>
  <c r="BX30" i="5"/>
  <c r="BW30" i="5" s="1"/>
  <c r="BX54" i="5"/>
  <c r="BW54" i="5" s="1"/>
  <c r="BV80" i="5"/>
  <c r="BY81" i="5"/>
  <c r="BY83" i="5" s="1"/>
  <c r="BR54" i="5"/>
  <c r="BQ54" i="5" s="1"/>
  <c r="BK30" i="5"/>
  <c r="DA30" i="5"/>
  <c r="BK54" i="5"/>
  <c r="CC54" i="5"/>
  <c r="CC30" i="5"/>
  <c r="G34" i="19"/>
  <c r="E34" i="19"/>
  <c r="H34" i="19"/>
  <c r="F34" i="19"/>
  <c r="F29" i="19"/>
  <c r="G29" i="19"/>
  <c r="G28" i="19"/>
  <c r="H28" i="19"/>
  <c r="F28" i="19"/>
  <c r="F20" i="19"/>
  <c r="G20" i="19"/>
  <c r="H20" i="19"/>
  <c r="F30" i="19"/>
  <c r="G30" i="19"/>
  <c r="H30" i="19"/>
  <c r="F33" i="19"/>
  <c r="G33" i="19"/>
  <c r="H33" i="19"/>
  <c r="G31" i="19"/>
  <c r="H31" i="19"/>
  <c r="F31" i="19"/>
  <c r="F32" i="19"/>
  <c r="H32" i="19"/>
  <c r="CC82" i="5"/>
  <c r="CU82" i="5"/>
  <c r="CO54" i="5"/>
  <c r="CU54" i="5"/>
  <c r="CI54" i="5"/>
  <c r="CU30" i="5"/>
  <c r="CI30" i="5"/>
  <c r="CO30" i="5"/>
  <c r="CT82" i="5"/>
  <c r="CI82" i="5"/>
  <c r="DA82" i="5"/>
  <c r="CO82" i="5"/>
  <c r="BW82" i="5"/>
  <c r="CB82" i="5"/>
  <c r="CH82" i="5"/>
  <c r="CZ82" i="5"/>
  <c r="BV82" i="5"/>
  <c r="CN82" i="5"/>
  <c r="BX81" i="5"/>
  <c r="BX83" i="5" s="1"/>
  <c r="BW81" i="5"/>
  <c r="BV81" i="5"/>
  <c r="CD81" i="5"/>
  <c r="CD83" i="5" s="1"/>
  <c r="CC81" i="5"/>
  <c r="CB81" i="5"/>
  <c r="CJ81" i="5"/>
  <c r="CJ83" i="5" s="1"/>
  <c r="CI81" i="5"/>
  <c r="CH81" i="5"/>
  <c r="CP81" i="5"/>
  <c r="CP83" i="5" s="1"/>
  <c r="CO81" i="5"/>
  <c r="CN81" i="5"/>
  <c r="CV81" i="5"/>
  <c r="CV83" i="5" s="1"/>
  <c r="CU81" i="5"/>
  <c r="CT81" i="5"/>
  <c r="DB81" i="5"/>
  <c r="DB83" i="5" s="1"/>
  <c r="DA81" i="5"/>
  <c r="CZ81" i="5"/>
  <c r="CS55" i="5"/>
  <c r="CG55" i="5"/>
  <c r="CY55" i="5"/>
  <c r="BU55" i="5"/>
  <c r="CM55" i="5"/>
  <c r="CA55" i="5"/>
  <c r="BF54" i="5"/>
  <c r="BG54" i="5"/>
  <c r="BE30" i="5"/>
  <c r="H18" i="19"/>
  <c r="G18" i="19"/>
  <c r="H19" i="19"/>
  <c r="BO14" i="5"/>
  <c r="BC14" i="5"/>
  <c r="BD14" i="5" s="1"/>
  <c r="BO29" i="5"/>
  <c r="BO27" i="5"/>
  <c r="BO17" i="5"/>
  <c r="BO26" i="5"/>
  <c r="BO25" i="5"/>
  <c r="BO24" i="5"/>
  <c r="BO22" i="5"/>
  <c r="BO21" i="5"/>
  <c r="BI14" i="5"/>
  <c r="BC16" i="5"/>
  <c r="E20" i="19" s="1"/>
  <c r="BO23" i="5"/>
  <c r="BO20" i="5"/>
  <c r="BC24" i="5"/>
  <c r="BD24" i="5" s="1"/>
  <c r="BO19" i="5"/>
  <c r="BO18" i="5"/>
  <c r="BO28" i="5"/>
  <c r="BO16" i="5"/>
  <c r="BO15" i="5"/>
  <c r="BC27" i="5"/>
  <c r="BD27" i="5" s="1"/>
  <c r="BI29" i="5"/>
  <c r="BJ29" i="5" s="1"/>
  <c r="BI28" i="5"/>
  <c r="BJ28" i="5" s="1"/>
  <c r="BI17" i="5"/>
  <c r="BI25" i="5"/>
  <c r="BC26" i="5"/>
  <c r="BD26" i="5" s="1"/>
  <c r="BI24" i="5"/>
  <c r="BJ24" i="5" s="1"/>
  <c r="BC15" i="5"/>
  <c r="BI23" i="5"/>
  <c r="BJ23" i="5" s="1"/>
  <c r="BI22" i="5"/>
  <c r="BJ22" i="5" s="1"/>
  <c r="BI21" i="5"/>
  <c r="BJ21" i="5" s="1"/>
  <c r="BI20" i="5"/>
  <c r="BJ20" i="5" s="1"/>
  <c r="BC29" i="5"/>
  <c r="BD29" i="5" s="1"/>
  <c r="BI19" i="5"/>
  <c r="BJ19" i="5" s="1"/>
  <c r="BC17" i="5"/>
  <c r="BI18" i="5"/>
  <c r="BI16" i="5"/>
  <c r="BI27" i="5"/>
  <c r="BJ27" i="5" s="1"/>
  <c r="BI15" i="5"/>
  <c r="BI26" i="5"/>
  <c r="BJ26" i="5" s="1"/>
  <c r="BC25" i="5"/>
  <c r="BG81" i="5" s="1"/>
  <c r="BC23" i="5"/>
  <c r="G27" i="19" s="1"/>
  <c r="BC22" i="5"/>
  <c r="F26" i="19" s="1"/>
  <c r="BC21" i="5"/>
  <c r="BC20" i="5"/>
  <c r="BC19" i="5"/>
  <c r="BC18" i="5"/>
  <c r="BC28" i="5"/>
  <c r="BD28" i="5" s="1"/>
  <c r="G32" i="19" l="1"/>
  <c r="H29" i="19"/>
  <c r="E21" i="19"/>
  <c r="F21" i="19"/>
  <c r="E22" i="19"/>
  <c r="G22" i="19"/>
  <c r="BL81" i="5"/>
  <c r="BL83" i="5" s="1"/>
  <c r="DD30" i="5"/>
  <c r="DE30" i="5" s="1"/>
  <c r="BP24" i="5"/>
  <c r="BP19" i="5"/>
  <c r="BP27" i="5"/>
  <c r="BP21" i="5"/>
  <c r="BP22" i="5"/>
  <c r="BP26" i="5"/>
  <c r="BP29" i="5"/>
  <c r="BP28" i="5"/>
  <c r="BP20" i="5"/>
  <c r="BP23" i="5"/>
  <c r="E28" i="19"/>
  <c r="E33" i="19"/>
  <c r="BD19" i="5"/>
  <c r="E23" i="19"/>
  <c r="CC83" i="5"/>
  <c r="E29" i="19"/>
  <c r="E32" i="19"/>
  <c r="E30" i="19"/>
  <c r="BD20" i="5"/>
  <c r="E24" i="19"/>
  <c r="BD22" i="5"/>
  <c r="E26" i="19"/>
  <c r="BD21" i="5"/>
  <c r="F25" i="19"/>
  <c r="CU83" i="5"/>
  <c r="BD23" i="5"/>
  <c r="E27" i="19"/>
  <c r="E31" i="19"/>
  <c r="CT83" i="5"/>
  <c r="CH83" i="5"/>
  <c r="CO83" i="5"/>
  <c r="DA83" i="5"/>
  <c r="CI83" i="5"/>
  <c r="CN83" i="5"/>
  <c r="BW83" i="5"/>
  <c r="BP17" i="5"/>
  <c r="BP89" i="5" s="1"/>
  <c r="BP80" i="5"/>
  <c r="BJ17" i="5"/>
  <c r="BJ89" i="5" s="1"/>
  <c r="BJ80" i="5"/>
  <c r="BD17" i="5"/>
  <c r="BD89" i="5" s="1"/>
  <c r="BD80" i="5"/>
  <c r="BV83" i="5"/>
  <c r="CB83" i="5"/>
  <c r="CZ83" i="5"/>
  <c r="BD82" i="5"/>
  <c r="BJ16" i="5"/>
  <c r="BK91" i="5" s="1"/>
  <c r="BK82" i="5"/>
  <c r="BP16" i="5"/>
  <c r="BQ82" i="5"/>
  <c r="BD16" i="5"/>
  <c r="BE82" i="5"/>
  <c r="BK81" i="5"/>
  <c r="BJ82" i="5"/>
  <c r="BQ81" i="5"/>
  <c r="BP82" i="5"/>
  <c r="BF81" i="5"/>
  <c r="BE81" i="5"/>
  <c r="BJ25" i="5"/>
  <c r="BM90" i="5" s="1"/>
  <c r="BM92" i="5" s="1"/>
  <c r="BM81" i="5"/>
  <c r="BM83" i="5" s="1"/>
  <c r="BR81" i="5"/>
  <c r="BR83" i="5" s="1"/>
  <c r="BJ81" i="5"/>
  <c r="BP25" i="5"/>
  <c r="BS90" i="5" s="1"/>
  <c r="BS92" i="5" s="1"/>
  <c r="BS81" i="5"/>
  <c r="BS83" i="5" s="1"/>
  <c r="BD81" i="5"/>
  <c r="BP81" i="5"/>
  <c r="BE54" i="5"/>
  <c r="DD54" i="5"/>
  <c r="DE54" i="5" s="1"/>
  <c r="BI55" i="5"/>
  <c r="BC55" i="5"/>
  <c r="BO55" i="5"/>
  <c r="BP18" i="5"/>
  <c r="BD15" i="5"/>
  <c r="BJ18" i="5"/>
  <c r="BL90" i="5" s="1"/>
  <c r="BL92" i="5" s="1"/>
  <c r="BD18" i="5"/>
  <c r="BF90" i="5" s="1"/>
  <c r="BP15" i="5"/>
  <c r="BD25" i="5"/>
  <c r="BG90" i="5" s="1"/>
  <c r="BJ15" i="5"/>
  <c r="BJ14" i="5"/>
  <c r="BP14" i="5"/>
  <c r="E18" i="19"/>
  <c r="E19" i="19"/>
  <c r="G19" i="19"/>
  <c r="F19" i="19"/>
  <c r="F18" i="19"/>
  <c r="BR90" i="5" l="1"/>
  <c r="BR92" i="5" s="1"/>
  <c r="CZ84" i="5"/>
  <c r="BQ91" i="5"/>
  <c r="CT84" i="5"/>
  <c r="CB84" i="5"/>
  <c r="BE91" i="5"/>
  <c r="BP90" i="5"/>
  <c r="BD90" i="5"/>
  <c r="BJ90" i="5"/>
  <c r="CH84" i="5"/>
  <c r="CN84" i="5"/>
  <c r="BV84" i="5"/>
  <c r="BK83" i="5"/>
  <c r="BJ83" i="5"/>
  <c r="BQ83" i="5"/>
  <c r="BP83" i="5"/>
  <c r="BQ90" i="5"/>
  <c r="BP91" i="5"/>
  <c r="BE90" i="5"/>
  <c r="BD91" i="5"/>
  <c r="BK90" i="5"/>
  <c r="BK92" i="5" s="1"/>
  <c r="BJ91" i="5"/>
  <c r="BP55" i="5"/>
  <c r="BD55" i="5"/>
  <c r="BJ55" i="5"/>
  <c r="H40" i="19"/>
  <c r="G40" i="19"/>
  <c r="F40" i="19"/>
  <c r="E40" i="19"/>
  <c r="BQ92" i="5" l="1"/>
  <c r="BP92" i="5"/>
  <c r="BJ92" i="5"/>
  <c r="BJ93" i="5" s="1"/>
  <c r="BJ84" i="5"/>
  <c r="BP84" i="5"/>
  <c r="V18" i="5"/>
  <c r="V14" i="5"/>
  <c r="X14" i="5" s="1"/>
  <c r="BB14" i="5"/>
  <c r="BP93" i="5" l="1"/>
  <c r="BF83" i="5" l="1"/>
  <c r="BG83" i="5"/>
  <c r="CZ29" i="5" l="1"/>
  <c r="CZ28" i="5"/>
  <c r="CZ27" i="5"/>
  <c r="CZ26" i="5"/>
  <c r="CZ25" i="5"/>
  <c r="DC90" i="5" s="1"/>
  <c r="DC92" i="5" s="1"/>
  <c r="CZ24" i="5"/>
  <c r="CZ23" i="5"/>
  <c r="CZ22" i="5"/>
  <c r="CZ21" i="5"/>
  <c r="CZ20" i="5"/>
  <c r="CZ19" i="5"/>
  <c r="CZ18" i="5"/>
  <c r="DB90" i="5" s="1"/>
  <c r="DB92" i="5" s="1"/>
  <c r="CZ17" i="5"/>
  <c r="CZ89" i="5" s="1"/>
  <c r="CZ16" i="5"/>
  <c r="CZ15" i="5"/>
  <c r="CZ14" i="5"/>
  <c r="CT29" i="5"/>
  <c r="CT28" i="5"/>
  <c r="CT27" i="5"/>
  <c r="CT26" i="5"/>
  <c r="CT25" i="5"/>
  <c r="CW90" i="5" s="1"/>
  <c r="CW92" i="5" s="1"/>
  <c r="CT24" i="5"/>
  <c r="CT23" i="5"/>
  <c r="CT22" i="5"/>
  <c r="CT21" i="5"/>
  <c r="CT20" i="5"/>
  <c r="CT19" i="5"/>
  <c r="CT18" i="5"/>
  <c r="CT17" i="5"/>
  <c r="CT89" i="5" s="1"/>
  <c r="CT16" i="5"/>
  <c r="CT15" i="5"/>
  <c r="CT14" i="5"/>
  <c r="CN29" i="5"/>
  <c r="CN28" i="5"/>
  <c r="CN27" i="5"/>
  <c r="CN26" i="5"/>
  <c r="CN25" i="5"/>
  <c r="CQ90" i="5" s="1"/>
  <c r="CQ92" i="5" s="1"/>
  <c r="CN24" i="5"/>
  <c r="CN23" i="5"/>
  <c r="CN22" i="5"/>
  <c r="CN21" i="5"/>
  <c r="CN20" i="5"/>
  <c r="CN19" i="5"/>
  <c r="CN18" i="5"/>
  <c r="CN17" i="5"/>
  <c r="CN89" i="5" s="1"/>
  <c r="CN16" i="5"/>
  <c r="CN15" i="5"/>
  <c r="CN14" i="5"/>
  <c r="CH29" i="5"/>
  <c r="CH28" i="5"/>
  <c r="CH27" i="5"/>
  <c r="CH26" i="5"/>
  <c r="CH25" i="5"/>
  <c r="CK90" i="5" s="1"/>
  <c r="CK92" i="5" s="1"/>
  <c r="CH24" i="5"/>
  <c r="CH23" i="5"/>
  <c r="CH22" i="5"/>
  <c r="CH21" i="5"/>
  <c r="CH20" i="5"/>
  <c r="CH19" i="5"/>
  <c r="CH18" i="5"/>
  <c r="CJ90" i="5" s="1"/>
  <c r="CJ92" i="5" s="1"/>
  <c r="CH17" i="5"/>
  <c r="CH89" i="5" s="1"/>
  <c r="CH16" i="5"/>
  <c r="CH15" i="5"/>
  <c r="CH14" i="5"/>
  <c r="CB29" i="5"/>
  <c r="CB28" i="5"/>
  <c r="CB27" i="5"/>
  <c r="CB26" i="5"/>
  <c r="CB25" i="5"/>
  <c r="CE90" i="5" s="1"/>
  <c r="CE92" i="5" s="1"/>
  <c r="CB24" i="5"/>
  <c r="CB23" i="5"/>
  <c r="CB22" i="5"/>
  <c r="CB21" i="5"/>
  <c r="CB20" i="5"/>
  <c r="CB19" i="5"/>
  <c r="CB18" i="5"/>
  <c r="CB17" i="5"/>
  <c r="CB89" i="5" s="1"/>
  <c r="CB16" i="5"/>
  <c r="CB15" i="5"/>
  <c r="CB14" i="5"/>
  <c r="BV29" i="5"/>
  <c r="BV28" i="5"/>
  <c r="BV27" i="5"/>
  <c r="BV26" i="5"/>
  <c r="BV25" i="5"/>
  <c r="BY90" i="5" s="1"/>
  <c r="BY92" i="5" s="1"/>
  <c r="BV24" i="5"/>
  <c r="BV23" i="5"/>
  <c r="BV22" i="5"/>
  <c r="BV21" i="5"/>
  <c r="BV20" i="5"/>
  <c r="BV19" i="5"/>
  <c r="BV18" i="5"/>
  <c r="BV17" i="5"/>
  <c r="BV89" i="5" s="1"/>
  <c r="BV16" i="5"/>
  <c r="BV15" i="5"/>
  <c r="BV14" i="5"/>
  <c r="BH14" i="5"/>
  <c r="BX90" i="5" l="1"/>
  <c r="BX92" i="5" s="1"/>
  <c r="CP90" i="5"/>
  <c r="CP92" i="5" s="1"/>
  <c r="CV90" i="5"/>
  <c r="CV92" i="5" s="1"/>
  <c r="CD90" i="5"/>
  <c r="CD92" i="5" s="1"/>
  <c r="CN90" i="5"/>
  <c r="BV90" i="5"/>
  <c r="BW91" i="5"/>
  <c r="CO91" i="5"/>
  <c r="CT90" i="5"/>
  <c r="CB90" i="5"/>
  <c r="CZ90" i="5"/>
  <c r="CH90" i="5"/>
  <c r="CC91" i="5"/>
  <c r="CU91" i="5"/>
  <c r="CI91" i="5"/>
  <c r="DA91" i="5"/>
  <c r="CO90" i="5"/>
  <c r="CN91" i="5"/>
  <c r="CC90" i="5"/>
  <c r="CB91" i="5"/>
  <c r="CU90" i="5"/>
  <c r="CT91" i="5"/>
  <c r="BW90" i="5"/>
  <c r="BV91" i="5"/>
  <c r="CI90" i="5"/>
  <c r="CH91" i="5"/>
  <c r="DA90" i="5"/>
  <c r="CZ91" i="5"/>
  <c r="BV55" i="5"/>
  <c r="CN55" i="5"/>
  <c r="AI55" i="5"/>
  <c r="AI56" i="5" s="1"/>
  <c r="CB55" i="5"/>
  <c r="CH55" i="5"/>
  <c r="CZ55" i="5"/>
  <c r="CT55" i="5"/>
  <c r="CX14" i="5"/>
  <c r="CX15" i="5"/>
  <c r="CX16" i="5"/>
  <c r="CX17" i="5"/>
  <c r="CX18" i="5"/>
  <c r="CX19" i="5"/>
  <c r="CX20" i="5"/>
  <c r="CX21" i="5"/>
  <c r="CX22" i="5"/>
  <c r="CX23" i="5"/>
  <c r="CX24" i="5"/>
  <c r="CX25" i="5"/>
  <c r="CX26" i="5"/>
  <c r="CX27" i="5"/>
  <c r="CX28" i="5"/>
  <c r="CX29" i="5"/>
  <c r="CN92" i="5" l="1"/>
  <c r="BW92" i="5"/>
  <c r="BV92" i="5"/>
  <c r="CO92" i="5"/>
  <c r="CC92" i="5"/>
  <c r="CZ92" i="5"/>
  <c r="CB92" i="5"/>
  <c r="CT92" i="5"/>
  <c r="CH92" i="5"/>
  <c r="CU92" i="5"/>
  <c r="DA92" i="5"/>
  <c r="CI92" i="5"/>
  <c r="AE64" i="5"/>
  <c r="AL56" i="5"/>
  <c r="AG56" i="5"/>
  <c r="AK56" i="5"/>
  <c r="DB14" i="5"/>
  <c r="BD83" i="5"/>
  <c r="DG29" i="5"/>
  <c r="DG28" i="5"/>
  <c r="DG27" i="5"/>
  <c r="DG26" i="5"/>
  <c r="DG25" i="5"/>
  <c r="DG24" i="5"/>
  <c r="DG23" i="5"/>
  <c r="DG22" i="5"/>
  <c r="DG21" i="5"/>
  <c r="DG20" i="5"/>
  <c r="DG19" i="5"/>
  <c r="DG18" i="5"/>
  <c r="DG17" i="5"/>
  <c r="DG16" i="5"/>
  <c r="DG15" i="5"/>
  <c r="DG14" i="5"/>
  <c r="DC27" i="5"/>
  <c r="CR27" i="5"/>
  <c r="CL27" i="5"/>
  <c r="CF27" i="5"/>
  <c r="BZ27" i="5"/>
  <c r="BT27" i="5"/>
  <c r="BN27" i="5"/>
  <c r="BH27" i="5"/>
  <c r="BB27" i="5"/>
  <c r="CR26" i="5"/>
  <c r="CL26" i="5"/>
  <c r="CF26" i="5"/>
  <c r="BZ26" i="5"/>
  <c r="BT26" i="5"/>
  <c r="BN26" i="5"/>
  <c r="BH26" i="5"/>
  <c r="BB26" i="5"/>
  <c r="CR25" i="5"/>
  <c r="CL25" i="5"/>
  <c r="CF25" i="5"/>
  <c r="BZ25" i="5"/>
  <c r="BT25" i="5"/>
  <c r="BN25" i="5"/>
  <c r="BH25" i="5"/>
  <c r="BB25" i="5"/>
  <c r="DC24" i="5"/>
  <c r="CR24" i="5"/>
  <c r="CL24" i="5"/>
  <c r="CF24" i="5"/>
  <c r="BZ24" i="5"/>
  <c r="BT24" i="5"/>
  <c r="BN24" i="5"/>
  <c r="BH24" i="5"/>
  <c r="BB24" i="5"/>
  <c r="CR23" i="5"/>
  <c r="CL23" i="5"/>
  <c r="CF23" i="5"/>
  <c r="BZ23" i="5"/>
  <c r="BT23" i="5"/>
  <c r="BN23" i="5"/>
  <c r="BH23" i="5"/>
  <c r="BB23" i="5"/>
  <c r="CR22" i="5"/>
  <c r="CL22" i="5"/>
  <c r="CF22" i="5"/>
  <c r="BZ22" i="5"/>
  <c r="BT22" i="5"/>
  <c r="BN22" i="5"/>
  <c r="BH22" i="5"/>
  <c r="BB22" i="5"/>
  <c r="CN93" i="5" l="1"/>
  <c r="CH93" i="5"/>
  <c r="CT93" i="5"/>
  <c r="BV93" i="5"/>
  <c r="DG55" i="5"/>
  <c r="CB93" i="5"/>
  <c r="CZ93" i="5"/>
  <c r="BL23" i="5"/>
  <c r="BM22" i="5"/>
  <c r="BL25" i="5"/>
  <c r="BM24" i="5"/>
  <c r="BL27" i="5"/>
  <c r="BF23" i="5"/>
  <c r="BG22" i="5"/>
  <c r="BF25" i="5"/>
  <c r="BG24" i="5"/>
  <c r="BG27" i="5"/>
  <c r="CP22" i="5"/>
  <c r="CV25" i="5"/>
  <c r="CP25" i="5"/>
  <c r="CJ27" i="5"/>
  <c r="BR26" i="5"/>
  <c r="CE22" i="5"/>
  <c r="CJ23" i="5"/>
  <c r="BY24" i="5"/>
  <c r="CK24" i="5"/>
  <c r="CW24" i="5"/>
  <c r="CD24" i="5"/>
  <c r="CV26" i="5"/>
  <c r="CK22" i="5"/>
  <c r="CQ27" i="5"/>
  <c r="BR23" i="5"/>
  <c r="CE23" i="5"/>
  <c r="CP23" i="5"/>
  <c r="BS22" i="5"/>
  <c r="CQ22" i="5"/>
  <c r="CP24" i="5"/>
  <c r="CK25" i="5"/>
  <c r="CW25" i="5"/>
  <c r="BX24" i="5"/>
  <c r="CW22" i="5"/>
  <c r="DC23" i="5"/>
  <c r="BS24" i="5"/>
  <c r="CE24" i="5"/>
  <c r="BS25" i="5"/>
  <c r="CD25" i="5"/>
  <c r="DC25" i="5"/>
  <c r="BY26" i="5"/>
  <c r="CK26" i="5"/>
  <c r="BS27" i="5"/>
  <c r="CE27" i="5"/>
  <c r="BR22" i="5"/>
  <c r="BY22" i="5"/>
  <c r="CJ22" i="5"/>
  <c r="DB22" i="5"/>
  <c r="CV23" i="5"/>
  <c r="BX25" i="5"/>
  <c r="CE26" i="5"/>
  <c r="CQ26" i="5"/>
  <c r="DC26" i="5"/>
  <c r="BY27" i="5"/>
  <c r="CK27" i="5"/>
  <c r="CD23" i="5"/>
  <c r="BR25" i="5"/>
  <c r="BR27" i="5"/>
  <c r="BX22" i="5"/>
  <c r="CV22" i="5"/>
  <c r="BY23" i="5"/>
  <c r="CJ24" i="5"/>
  <c r="DB24" i="5"/>
  <c r="DB25" i="5"/>
  <c r="CP26" i="5"/>
  <c r="CP27" i="5"/>
  <c r="BS23" i="5"/>
  <c r="CK23" i="5"/>
  <c r="CQ23" i="5"/>
  <c r="BY25" i="5"/>
  <c r="CE25" i="5"/>
  <c r="BS26" i="5"/>
  <c r="BX26" i="5"/>
  <c r="CW26" i="5"/>
  <c r="CW27" i="5"/>
  <c r="DB23" i="5"/>
  <c r="CV24" i="5"/>
  <c r="CD22" i="5"/>
  <c r="DC22" i="5"/>
  <c r="BX23" i="5"/>
  <c r="CW23" i="5"/>
  <c r="BR24" i="5"/>
  <c r="CQ24" i="5"/>
  <c r="CQ25" i="5"/>
  <c r="CJ25" i="5"/>
  <c r="CD26" i="5"/>
  <c r="DB26" i="5"/>
  <c r="BX27" i="5"/>
  <c r="CV27" i="5"/>
  <c r="CJ26" i="5"/>
  <c r="CD27" i="5"/>
  <c r="DB27" i="5"/>
  <c r="BG92" i="5" l="1"/>
  <c r="BL22" i="5"/>
  <c r="BK22" i="5" s="1"/>
  <c r="BM25" i="5"/>
  <c r="BK25" i="5" s="1"/>
  <c r="BM72" i="5" s="1"/>
  <c r="BM74" i="5" s="1"/>
  <c r="BM23" i="5"/>
  <c r="BK23" i="5" s="1"/>
  <c r="BG25" i="5"/>
  <c r="BE25" i="5" s="1"/>
  <c r="BG72" i="5" s="1"/>
  <c r="BG23" i="5"/>
  <c r="BE23" i="5" s="1"/>
  <c r="BF22" i="5"/>
  <c r="BF24" i="5"/>
  <c r="BE24" i="5" s="1"/>
  <c r="BL24" i="5"/>
  <c r="BK24" i="5" s="1"/>
  <c r="BF27" i="5"/>
  <c r="BE27" i="5" s="1"/>
  <c r="BM27" i="5"/>
  <c r="BK27" i="5" s="1"/>
  <c r="CC24" i="5"/>
  <c r="BW22" i="5"/>
  <c r="BW26" i="5"/>
  <c r="CU22" i="5"/>
  <c r="DA27" i="5"/>
  <c r="DA24" i="5"/>
  <c r="CU23" i="5"/>
  <c r="CI22" i="5"/>
  <c r="CO22" i="5"/>
  <c r="CU25" i="5"/>
  <c r="CW72" i="5" s="1"/>
  <c r="CW74" i="5" s="1"/>
  <c r="CU26" i="5"/>
  <c r="DA25" i="5"/>
  <c r="DC72" i="5" s="1"/>
  <c r="DC74" i="5" s="1"/>
  <c r="CI27" i="5"/>
  <c r="BW24" i="5"/>
  <c r="BQ23" i="5"/>
  <c r="BQ22" i="5"/>
  <c r="CI25" i="5"/>
  <c r="CK72" i="5" s="1"/>
  <c r="CK74" i="5" s="1"/>
  <c r="CU24" i="5"/>
  <c r="DA26" i="5"/>
  <c r="CI23" i="5"/>
  <c r="CO25" i="5"/>
  <c r="CQ72" i="5" s="1"/>
  <c r="CQ74" i="5" s="1"/>
  <c r="CO24" i="5"/>
  <c r="BQ27" i="5"/>
  <c r="CC22" i="5"/>
  <c r="BQ26" i="5"/>
  <c r="CO27" i="5"/>
  <c r="DA22" i="5"/>
  <c r="CC27" i="5"/>
  <c r="CI24" i="5"/>
  <c r="CC23" i="5"/>
  <c r="CU27" i="5"/>
  <c r="CO23" i="5"/>
  <c r="CO26" i="5"/>
  <c r="CC25" i="5"/>
  <c r="CE72" i="5" s="1"/>
  <c r="CE74" i="5" s="1"/>
  <c r="CI26" i="5"/>
  <c r="BQ24" i="5"/>
  <c r="DA23" i="5"/>
  <c r="BQ25" i="5"/>
  <c r="BS72" i="5" s="1"/>
  <c r="BS74" i="5" s="1"/>
  <c r="BW27" i="5"/>
  <c r="DD25" i="5"/>
  <c r="DE25" i="5" s="1"/>
  <c r="CC26" i="5"/>
  <c r="BW25" i="5"/>
  <c r="BY72" i="5" s="1"/>
  <c r="BY74" i="5" s="1"/>
  <c r="BW23" i="5"/>
  <c r="DD23" i="5"/>
  <c r="DE23" i="5" s="1"/>
  <c r="Y27" i="5"/>
  <c r="Y26" i="5"/>
  <c r="Y25" i="5"/>
  <c r="Y24" i="5"/>
  <c r="Y23" i="5"/>
  <c r="Y22" i="5"/>
  <c r="S27" i="5"/>
  <c r="V27" i="5"/>
  <c r="X27" i="5" s="1"/>
  <c r="S26" i="5"/>
  <c r="V26" i="5"/>
  <c r="S25" i="5"/>
  <c r="V25" i="5"/>
  <c r="X25" i="5" s="1"/>
  <c r="S24" i="5"/>
  <c r="V24" i="5"/>
  <c r="X24" i="5" s="1"/>
  <c r="S23" i="5"/>
  <c r="X23" i="5"/>
  <c r="S22" i="5"/>
  <c r="V22" i="5"/>
  <c r="X22" i="5" s="1"/>
  <c r="CR29" i="5"/>
  <c r="CL29" i="5"/>
  <c r="CF29" i="5"/>
  <c r="BZ29" i="5"/>
  <c r="BT29" i="5"/>
  <c r="BN29" i="5"/>
  <c r="BH29" i="5"/>
  <c r="BB29" i="5"/>
  <c r="Y29" i="5"/>
  <c r="V29" i="5"/>
  <c r="X29" i="5" s="1"/>
  <c r="S29" i="5"/>
  <c r="CR28" i="5"/>
  <c r="CL28" i="5"/>
  <c r="CF28" i="5"/>
  <c r="BZ28" i="5"/>
  <c r="BT28" i="5"/>
  <c r="BN28" i="5"/>
  <c r="BH28" i="5"/>
  <c r="BB28" i="5"/>
  <c r="Y28" i="5"/>
  <c r="V28" i="5"/>
  <c r="X28" i="5" s="1"/>
  <c r="S28" i="5"/>
  <c r="CR21" i="5"/>
  <c r="CL21" i="5"/>
  <c r="CF21" i="5"/>
  <c r="BZ21" i="5"/>
  <c r="BT21" i="5"/>
  <c r="BN21" i="5"/>
  <c r="BH21" i="5"/>
  <c r="BB21" i="5"/>
  <c r="Y21" i="5"/>
  <c r="V21" i="5"/>
  <c r="X21" i="5" s="1"/>
  <c r="S21" i="5"/>
  <c r="CR20" i="5"/>
  <c r="CL20" i="5"/>
  <c r="CF20" i="5"/>
  <c r="BZ20" i="5"/>
  <c r="BT20" i="5"/>
  <c r="BN20" i="5"/>
  <c r="BH20" i="5"/>
  <c r="BB20" i="5"/>
  <c r="Y20" i="5"/>
  <c r="V20" i="5"/>
  <c r="S20" i="5"/>
  <c r="CR19" i="5"/>
  <c r="CL19" i="5"/>
  <c r="CF19" i="5"/>
  <c r="BZ19" i="5"/>
  <c r="BT19" i="5"/>
  <c r="BN19" i="5"/>
  <c r="BH19" i="5"/>
  <c r="BB19" i="5"/>
  <c r="Y19" i="5"/>
  <c r="V19" i="5"/>
  <c r="X19" i="5" s="1"/>
  <c r="S19" i="5"/>
  <c r="CR18" i="5"/>
  <c r="CL18" i="5"/>
  <c r="CF18" i="5"/>
  <c r="BZ18" i="5"/>
  <c r="BT18" i="5"/>
  <c r="BN18" i="5"/>
  <c r="BH18" i="5"/>
  <c r="BB18" i="5"/>
  <c r="Y18" i="5"/>
  <c r="X18" i="5"/>
  <c r="S18" i="5"/>
  <c r="CR17" i="5"/>
  <c r="CL17" i="5"/>
  <c r="CF17" i="5"/>
  <c r="BZ17" i="5"/>
  <c r="BT17" i="5"/>
  <c r="BN17" i="5"/>
  <c r="BH17" i="5"/>
  <c r="BB17" i="5"/>
  <c r="Y17" i="5"/>
  <c r="S17" i="5"/>
  <c r="T55" i="5" s="1"/>
  <c r="T56" i="5" s="1"/>
  <c r="CR16" i="5"/>
  <c r="CL16" i="5"/>
  <c r="CF16" i="5"/>
  <c r="BZ16" i="5"/>
  <c r="BT16" i="5"/>
  <c r="BN16" i="5"/>
  <c r="BH16" i="5"/>
  <c r="BB16" i="5"/>
  <c r="Y16" i="5"/>
  <c r="V16" i="5"/>
  <c r="X16" i="5" s="1"/>
  <c r="S16" i="5"/>
  <c r="CR15" i="5"/>
  <c r="CL15" i="5"/>
  <c r="CF15" i="5"/>
  <c r="BZ15" i="5"/>
  <c r="BT15" i="5"/>
  <c r="BN15" i="5"/>
  <c r="BH15" i="5"/>
  <c r="BB15" i="5"/>
  <c r="Y15" i="5"/>
  <c r="V15" i="5"/>
  <c r="S15" i="5"/>
  <c r="CR14" i="5"/>
  <c r="CL14" i="5"/>
  <c r="CF14" i="5"/>
  <c r="BZ14" i="5"/>
  <c r="BT14" i="5"/>
  <c r="BN14" i="5"/>
  <c r="S14" i="5"/>
  <c r="V17" i="5" l="1"/>
  <c r="X17" i="5" s="1"/>
  <c r="S55" i="5"/>
  <c r="Y55" i="5"/>
  <c r="X15" i="5"/>
  <c r="DD22" i="5"/>
  <c r="DE22" i="5" s="1"/>
  <c r="DD24" i="5"/>
  <c r="DE24" i="5" s="1"/>
  <c r="BE22" i="5"/>
  <c r="BL19" i="5"/>
  <c r="BM29" i="5"/>
  <c r="BM16" i="5"/>
  <c r="BL18" i="5"/>
  <c r="BL21" i="5"/>
  <c r="BF26" i="5"/>
  <c r="BL17" i="5"/>
  <c r="BM28" i="5"/>
  <c r="DD27" i="5"/>
  <c r="DE27" i="5" s="1"/>
  <c r="BF16" i="5"/>
  <c r="BG19" i="5"/>
  <c r="BF15" i="5"/>
  <c r="BG21" i="5"/>
  <c r="BF17" i="5"/>
  <c r="BF29" i="5"/>
  <c r="BF28" i="5"/>
  <c r="X20" i="5"/>
  <c r="X26" i="5"/>
  <c r="P64" i="5"/>
  <c r="V64" i="5"/>
  <c r="W64" i="5"/>
  <c r="CQ28" i="5"/>
  <c r="CV16" i="5"/>
  <c r="X64" i="5"/>
  <c r="DC16" i="5"/>
  <c r="BY18" i="5"/>
  <c r="BR28" i="5"/>
  <c r="CV28" i="5"/>
  <c r="CV15" i="5"/>
  <c r="CV21" i="5"/>
  <c r="Q64" i="5"/>
  <c r="CP21" i="5"/>
  <c r="CK14" i="5"/>
  <c r="DB15" i="5"/>
  <c r="BX17" i="5"/>
  <c r="BX18" i="5"/>
  <c r="CJ18" i="5"/>
  <c r="BX28" i="5"/>
  <c r="BR16" i="5"/>
  <c r="DC17" i="5"/>
  <c r="BR19" i="5"/>
  <c r="CP20" i="5"/>
  <c r="CD28" i="5"/>
  <c r="CP17" i="5"/>
  <c r="DB17" i="5"/>
  <c r="DB16" i="5"/>
  <c r="CJ16" i="5"/>
  <c r="R64" i="5"/>
  <c r="BR15" i="5"/>
  <c r="CJ14" i="5"/>
  <c r="CW21" i="5"/>
  <c r="CV17" i="5"/>
  <c r="CW18" i="5"/>
  <c r="CW19" i="5"/>
  <c r="CW20" i="5"/>
  <c r="CQ14" i="5"/>
  <c r="CQ15" i="5"/>
  <c r="CP16" i="5"/>
  <c r="CP28" i="5"/>
  <c r="CJ19" i="5"/>
  <c r="CK20" i="5"/>
  <c r="CJ21" i="5"/>
  <c r="CK16" i="5"/>
  <c r="CE17" i="5"/>
  <c r="CD18" i="5"/>
  <c r="BY28" i="5"/>
  <c r="BS17" i="5"/>
  <c r="BS18" i="5"/>
  <c r="BS20" i="5"/>
  <c r="BS21" i="5"/>
  <c r="CW14" i="5"/>
  <c r="CW15" i="5"/>
  <c r="CW16" i="5"/>
  <c r="CW28" i="5"/>
  <c r="CV29" i="5"/>
  <c r="CQ17" i="5"/>
  <c r="CQ18" i="5"/>
  <c r="CQ19" i="5"/>
  <c r="CQ20" i="5"/>
  <c r="CQ21" i="5"/>
  <c r="CJ15" i="5"/>
  <c r="CK17" i="5"/>
  <c r="CK18" i="5"/>
  <c r="CK29" i="5"/>
  <c r="CD14" i="5"/>
  <c r="CE19" i="5"/>
  <c r="CD20" i="5"/>
  <c r="CE29" i="5"/>
  <c r="CE15" i="5"/>
  <c r="CE16" i="5"/>
  <c r="CE28" i="5"/>
  <c r="BY14" i="5"/>
  <c r="BY19" i="5"/>
  <c r="BY21" i="5"/>
  <c r="BY15" i="5"/>
  <c r="BY16" i="5"/>
  <c r="BX29" i="5"/>
  <c r="BS15" i="5"/>
  <c r="BS19" i="5"/>
  <c r="DC15" i="5"/>
  <c r="DB18" i="5"/>
  <c r="DC28" i="5"/>
  <c r="DB29" i="5"/>
  <c r="DB19" i="5"/>
  <c r="DB20" i="5"/>
  <c r="CD15" i="5"/>
  <c r="CV18" i="5"/>
  <c r="CD19" i="5"/>
  <c r="BR21" i="5"/>
  <c r="BX21" i="5"/>
  <c r="BS28" i="5"/>
  <c r="DB28" i="5"/>
  <c r="DC29" i="5"/>
  <c r="CP15" i="5"/>
  <c r="CD16" i="5"/>
  <c r="BR17" i="5"/>
  <c r="CJ17" i="5"/>
  <c r="BR18" i="5"/>
  <c r="CP19" i="5"/>
  <c r="DC19" i="5"/>
  <c r="BR20" i="5"/>
  <c r="CD29" i="5"/>
  <c r="CJ29" i="5"/>
  <c r="CP14" i="5"/>
  <c r="BX15" i="5"/>
  <c r="BX16" i="5"/>
  <c r="CD17" i="5"/>
  <c r="CP18" i="5"/>
  <c r="BX19" i="5"/>
  <c r="CV19" i="5"/>
  <c r="BY20" i="5"/>
  <c r="CJ20" i="5"/>
  <c r="CE21" i="5"/>
  <c r="CK21" i="5"/>
  <c r="DC21" i="5"/>
  <c r="BS29" i="5"/>
  <c r="BY29" i="5"/>
  <c r="CQ29" i="5"/>
  <c r="CW29" i="5"/>
  <c r="CE14" i="5"/>
  <c r="CK15" i="5"/>
  <c r="BS16" i="5"/>
  <c r="CW17" i="5"/>
  <c r="DC18" i="5"/>
  <c r="BX14" i="5"/>
  <c r="CV14" i="5"/>
  <c r="CE20" i="5"/>
  <c r="DC20" i="5"/>
  <c r="DC14" i="5"/>
  <c r="CQ16" i="5"/>
  <c r="BY17" i="5"/>
  <c r="CE18" i="5"/>
  <c r="CK19" i="5"/>
  <c r="CK28" i="5"/>
  <c r="BX20" i="5"/>
  <c r="CV20" i="5"/>
  <c r="CD21" i="5"/>
  <c r="DB21" i="5"/>
  <c r="CJ28" i="5"/>
  <c r="BR29" i="5"/>
  <c r="CP29" i="5"/>
  <c r="O64" i="5"/>
  <c r="U64" i="5"/>
  <c r="V55" i="5" l="1"/>
  <c r="X56" i="5" s="1"/>
  <c r="CJ55" i="5"/>
  <c r="BX55" i="5"/>
  <c r="CD55" i="5"/>
  <c r="CW55" i="5"/>
  <c r="CP55" i="5"/>
  <c r="CV55" i="5"/>
  <c r="X55" i="5"/>
  <c r="DB55" i="5"/>
  <c r="DC55" i="5"/>
  <c r="BY55" i="5"/>
  <c r="CQ55" i="5"/>
  <c r="CK55" i="5"/>
  <c r="CE55" i="5"/>
  <c r="DA14" i="5"/>
  <c r="BG26" i="5"/>
  <c r="BE26" i="5" s="1"/>
  <c r="BL29" i="5"/>
  <c r="BK29" i="5" s="1"/>
  <c r="BM19" i="5"/>
  <c r="BK19" i="5" s="1"/>
  <c r="BG16" i="5"/>
  <c r="BE16" i="5" s="1"/>
  <c r="BM18" i="5"/>
  <c r="BK18" i="5" s="1"/>
  <c r="BL16" i="5"/>
  <c r="BK16" i="5" s="1"/>
  <c r="BF20" i="5"/>
  <c r="BM26" i="5"/>
  <c r="BL26" i="5"/>
  <c r="BL28" i="5"/>
  <c r="DD28" i="5" s="1"/>
  <c r="DE28" i="5" s="1"/>
  <c r="BF19" i="5"/>
  <c r="DD19" i="5" s="1"/>
  <c r="DE19" i="5" s="1"/>
  <c r="BG29" i="5"/>
  <c r="BE29" i="5" s="1"/>
  <c r="BF21" i="5"/>
  <c r="BE21" i="5" s="1"/>
  <c r="BG17" i="5"/>
  <c r="BE17" i="5" s="1"/>
  <c r="BD71" i="5" s="1"/>
  <c r="BM21" i="5"/>
  <c r="BK21" i="5" s="1"/>
  <c r="BM17" i="5"/>
  <c r="BK17" i="5" s="1"/>
  <c r="BJ71" i="5" s="1"/>
  <c r="BG15" i="5"/>
  <c r="BE15" i="5" s="1"/>
  <c r="BM15" i="5"/>
  <c r="BL15" i="5"/>
  <c r="DD15" i="5" s="1"/>
  <c r="DE15" i="5" s="1"/>
  <c r="BG28" i="5"/>
  <c r="BE28" i="5" s="1"/>
  <c r="BE92" i="5"/>
  <c r="BF92" i="5"/>
  <c r="BF18" i="5"/>
  <c r="DD18" i="5" s="1"/>
  <c r="DE18" i="5" s="1"/>
  <c r="BG18" i="5"/>
  <c r="CU15" i="5"/>
  <c r="CU20" i="5"/>
  <c r="BQ17" i="5"/>
  <c r="BP71" i="5" s="1"/>
  <c r="BQ28" i="5"/>
  <c r="CO19" i="5"/>
  <c r="BQ21" i="5"/>
  <c r="BQ20" i="5"/>
  <c r="CO28" i="5"/>
  <c r="CU16" i="5"/>
  <c r="BW19" i="5"/>
  <c r="BW28" i="5"/>
  <c r="CU19" i="5"/>
  <c r="BQ16" i="5"/>
  <c r="BW18" i="5"/>
  <c r="BX72" i="5" s="1"/>
  <c r="BX74" i="5" s="1"/>
  <c r="CI21" i="5"/>
  <c r="CO29" i="5"/>
  <c r="CU17" i="5"/>
  <c r="CT71" i="5" s="1"/>
  <c r="DA16" i="5"/>
  <c r="U65" i="5"/>
  <c r="CO16" i="5"/>
  <c r="CI20" i="5"/>
  <c r="CI17" i="5"/>
  <c r="CH71" i="5" s="1"/>
  <c r="CO15" i="5"/>
  <c r="DA29" i="5"/>
  <c r="CO20" i="5"/>
  <c r="CU21" i="5"/>
  <c r="BW16" i="5"/>
  <c r="CC28" i="5"/>
  <c r="CI14" i="5"/>
  <c r="BW15" i="5"/>
  <c r="DA28" i="5"/>
  <c r="CC17" i="5"/>
  <c r="CB71" i="5" s="1"/>
  <c r="CI29" i="5"/>
  <c r="CC29" i="5"/>
  <c r="BW29" i="5"/>
  <c r="CU28" i="5"/>
  <c r="CI28" i="5"/>
  <c r="DA21" i="5"/>
  <c r="BW21" i="5"/>
  <c r="CO21" i="5"/>
  <c r="CC20" i="5"/>
  <c r="CC19" i="5"/>
  <c r="DA19" i="5"/>
  <c r="BQ19" i="5"/>
  <c r="CC18" i="5"/>
  <c r="CD72" i="5" s="1"/>
  <c r="CD74" i="5" s="1"/>
  <c r="CU18" i="5"/>
  <c r="DA17" i="5"/>
  <c r="CZ71" i="5" s="1"/>
  <c r="CC14" i="5"/>
  <c r="CO18" i="5"/>
  <c r="CC15" i="5"/>
  <c r="DA15" i="5"/>
  <c r="CI18" i="5"/>
  <c r="CJ72" i="5" s="1"/>
  <c r="CJ74" i="5" s="1"/>
  <c r="O65" i="5"/>
  <c r="BQ18" i="5"/>
  <c r="CI16" i="5"/>
  <c r="DA18" i="5"/>
  <c r="DB72" i="5" s="1"/>
  <c r="DB74" i="5" s="1"/>
  <c r="CO14" i="5"/>
  <c r="BW17" i="5"/>
  <c r="BV71" i="5" s="1"/>
  <c r="CO17" i="5"/>
  <c r="CN71" i="5" s="1"/>
  <c r="BQ15" i="5"/>
  <c r="DA20" i="5"/>
  <c r="CU29" i="5"/>
  <c r="CI19" i="5"/>
  <c r="CI15" i="5"/>
  <c r="DD17" i="5"/>
  <c r="DE17" i="5" s="1"/>
  <c r="CC16" i="5"/>
  <c r="BQ29" i="5"/>
  <c r="CC21" i="5"/>
  <c r="CU14" i="5"/>
  <c r="BW20" i="5"/>
  <c r="BW14" i="5"/>
  <c r="BR72" i="5" l="1"/>
  <c r="BR74" i="5" s="1"/>
  <c r="CV72" i="5"/>
  <c r="CV74" i="5" s="1"/>
  <c r="CP72" i="5"/>
  <c r="CP74" i="5" s="1"/>
  <c r="CZ61" i="5"/>
  <c r="CZ64" i="5"/>
  <c r="DA61" i="5"/>
  <c r="DA64" i="5"/>
  <c r="DB61" i="5"/>
  <c r="DC62" i="5"/>
  <c r="DC61" i="5"/>
  <c r="DC64" i="5"/>
  <c r="CZ62" i="5"/>
  <c r="DA62" i="5"/>
  <c r="DB62" i="5"/>
  <c r="DA63" i="5"/>
  <c r="DB63" i="5"/>
  <c r="DC63" i="5"/>
  <c r="DB64" i="5"/>
  <c r="CZ63" i="5"/>
  <c r="DA73" i="5"/>
  <c r="CU73" i="5"/>
  <c r="CO73" i="5"/>
  <c r="CC73" i="5"/>
  <c r="BW73" i="5"/>
  <c r="BQ73" i="5"/>
  <c r="CI73" i="5"/>
  <c r="BV73" i="5"/>
  <c r="CT73" i="5"/>
  <c r="CB73" i="5"/>
  <c r="CN73" i="5"/>
  <c r="BE72" i="5"/>
  <c r="CI72" i="5"/>
  <c r="CH73" i="5"/>
  <c r="DA72" i="5"/>
  <c r="CZ73" i="5"/>
  <c r="BQ72" i="5"/>
  <c r="BV72" i="5"/>
  <c r="BY64" i="5"/>
  <c r="BX64" i="5"/>
  <c r="BW64" i="5"/>
  <c r="BV64" i="5"/>
  <c r="BY63" i="5"/>
  <c r="BX63" i="5"/>
  <c r="BW63" i="5"/>
  <c r="BV63" i="5"/>
  <c r="BY62" i="5"/>
  <c r="BX62" i="5"/>
  <c r="BW62" i="5"/>
  <c r="BV62" i="5"/>
  <c r="BY61" i="5"/>
  <c r="BX61" i="5"/>
  <c r="BW61" i="5"/>
  <c r="BV61" i="5"/>
  <c r="CT72" i="5"/>
  <c r="CW64" i="5"/>
  <c r="CV64" i="5"/>
  <c r="CU64" i="5"/>
  <c r="CT64" i="5"/>
  <c r="CW63" i="5"/>
  <c r="CV63" i="5"/>
  <c r="CU63" i="5"/>
  <c r="CT63" i="5"/>
  <c r="CW62" i="5"/>
  <c r="CV62" i="5"/>
  <c r="CU62" i="5"/>
  <c r="CT62" i="5"/>
  <c r="CW61" i="5"/>
  <c r="CV61" i="5"/>
  <c r="CU61" i="5"/>
  <c r="CT61" i="5"/>
  <c r="CN72" i="5"/>
  <c r="CQ64" i="5"/>
  <c r="CP64" i="5"/>
  <c r="CO64" i="5"/>
  <c r="CN64" i="5"/>
  <c r="CQ63" i="5"/>
  <c r="CP63" i="5"/>
  <c r="CO63" i="5"/>
  <c r="CN63" i="5"/>
  <c r="CQ62" i="5"/>
  <c r="CP62" i="5"/>
  <c r="CO62" i="5"/>
  <c r="CN62" i="5"/>
  <c r="CQ61" i="5"/>
  <c r="CP61" i="5"/>
  <c r="CO61" i="5"/>
  <c r="CN61" i="5"/>
  <c r="CC72" i="5"/>
  <c r="CB72" i="5"/>
  <c r="CE64" i="5"/>
  <c r="CD64" i="5"/>
  <c r="CC64" i="5"/>
  <c r="CB64" i="5"/>
  <c r="CE63" i="5"/>
  <c r="CD63" i="5"/>
  <c r="CC63" i="5"/>
  <c r="CB63" i="5"/>
  <c r="CE62" i="5"/>
  <c r="CD62" i="5"/>
  <c r="CC62" i="5"/>
  <c r="CB62" i="5"/>
  <c r="CE61" i="5"/>
  <c r="CD61" i="5"/>
  <c r="CC61" i="5"/>
  <c r="CB61" i="5"/>
  <c r="BW72" i="5"/>
  <c r="CH72" i="5"/>
  <c r="CK64" i="5"/>
  <c r="CJ64" i="5"/>
  <c r="CI64" i="5"/>
  <c r="CH64" i="5"/>
  <c r="CK63" i="5"/>
  <c r="CJ63" i="5"/>
  <c r="CI63" i="5"/>
  <c r="CH63" i="5"/>
  <c r="CK62" i="5"/>
  <c r="CJ62" i="5"/>
  <c r="CI62" i="5"/>
  <c r="CH62" i="5"/>
  <c r="CK61" i="5"/>
  <c r="CJ61" i="5"/>
  <c r="CI61" i="5"/>
  <c r="CH61" i="5"/>
  <c r="CO72" i="5"/>
  <c r="CU72" i="5"/>
  <c r="CZ72" i="5"/>
  <c r="DA55" i="5"/>
  <c r="CI55" i="5"/>
  <c r="CC55" i="5"/>
  <c r="BW55" i="5"/>
  <c r="CU55" i="5"/>
  <c r="CO55" i="5"/>
  <c r="DD29" i="5"/>
  <c r="DE29" i="5" s="1"/>
  <c r="BK26" i="5"/>
  <c r="BG20" i="5"/>
  <c r="BE20" i="5" s="1"/>
  <c r="BE73" i="5" s="1"/>
  <c r="DD16" i="5"/>
  <c r="DE16" i="5" s="1"/>
  <c r="BR14" i="5"/>
  <c r="BS14" i="5"/>
  <c r="BE19" i="5"/>
  <c r="BK28" i="5"/>
  <c r="BL72" i="5" s="1"/>
  <c r="BL74" i="5" s="1"/>
  <c r="DD26" i="5"/>
  <c r="DE26" i="5" s="1"/>
  <c r="BK15" i="5"/>
  <c r="BL20" i="5"/>
  <c r="BM20" i="5"/>
  <c r="DD21" i="5"/>
  <c r="DE21" i="5" s="1"/>
  <c r="BL14" i="5"/>
  <c r="BM14" i="5"/>
  <c r="BE18" i="5"/>
  <c r="BG74" i="5"/>
  <c r="DA65" i="5" l="1"/>
  <c r="DB65" i="5"/>
  <c r="CZ65" i="5"/>
  <c r="DC65" i="5"/>
  <c r="DA74" i="5"/>
  <c r="CU74" i="5"/>
  <c r="CO74" i="5"/>
  <c r="CC74" i="5"/>
  <c r="CB74" i="5"/>
  <c r="BW74" i="5"/>
  <c r="CT74" i="5"/>
  <c r="CI74" i="5"/>
  <c r="BQ74" i="5"/>
  <c r="BE74" i="5"/>
  <c r="BV74" i="5"/>
  <c r="CH74" i="5"/>
  <c r="CN74" i="5"/>
  <c r="CZ74" i="5"/>
  <c r="BK72" i="5"/>
  <c r="CQ65" i="5"/>
  <c r="CK65" i="5"/>
  <c r="CB65" i="5"/>
  <c r="CW65" i="5"/>
  <c r="BV65" i="5"/>
  <c r="BW65" i="5"/>
  <c r="CN65" i="5"/>
  <c r="BX65" i="5"/>
  <c r="CH65" i="5"/>
  <c r="CC65" i="5"/>
  <c r="CI65" i="5"/>
  <c r="CJ65" i="5"/>
  <c r="CP65" i="5"/>
  <c r="BF72" i="5"/>
  <c r="BF74" i="5" s="1"/>
  <c r="CD65" i="5"/>
  <c r="CE65" i="5"/>
  <c r="CO65" i="5"/>
  <c r="CT65" i="5"/>
  <c r="CU65" i="5"/>
  <c r="CV65" i="5"/>
  <c r="BY65" i="5"/>
  <c r="BS55" i="5"/>
  <c r="BR55" i="5"/>
  <c r="BM55" i="5"/>
  <c r="BL55" i="5"/>
  <c r="BQ14" i="5"/>
  <c r="BP73" i="5" s="1"/>
  <c r="BK20" i="5"/>
  <c r="BK73" i="5" s="1"/>
  <c r="DD20" i="5"/>
  <c r="DE20" i="5" s="1"/>
  <c r="BK14" i="5"/>
  <c r="BF14" i="5"/>
  <c r="BD92" i="5"/>
  <c r="BD93" i="5" s="1"/>
  <c r="BG14" i="5"/>
  <c r="CZ66" i="5" l="1"/>
  <c r="CT75" i="5"/>
  <c r="CZ75" i="5"/>
  <c r="CN75" i="5"/>
  <c r="CB75" i="5"/>
  <c r="BJ73" i="5"/>
  <c r="BV75" i="5"/>
  <c r="CH75" i="5"/>
  <c r="BK74" i="5"/>
  <c r="CN66" i="5"/>
  <c r="BV66" i="5"/>
  <c r="CH66" i="5"/>
  <c r="BJ72" i="5"/>
  <c r="BM64" i="5"/>
  <c r="BL64" i="5"/>
  <c r="BK64" i="5"/>
  <c r="BJ64" i="5"/>
  <c r="BM63" i="5"/>
  <c r="BL63" i="5"/>
  <c r="BK63" i="5"/>
  <c r="BJ63" i="5"/>
  <c r="BM62" i="5"/>
  <c r="BL62" i="5"/>
  <c r="BK62" i="5"/>
  <c r="BJ62" i="5"/>
  <c r="BM61" i="5"/>
  <c r="BL61" i="5"/>
  <c r="BK61" i="5"/>
  <c r="BJ61" i="5"/>
  <c r="BP72" i="5"/>
  <c r="BP74" i="5" s="1"/>
  <c r="BP75" i="5" s="1"/>
  <c r="BS64" i="5"/>
  <c r="BR64" i="5"/>
  <c r="BQ64" i="5"/>
  <c r="BP64" i="5"/>
  <c r="BS63" i="5"/>
  <c r="BR63" i="5"/>
  <c r="BQ63" i="5"/>
  <c r="BP63" i="5"/>
  <c r="BS62" i="5"/>
  <c r="BR62" i="5"/>
  <c r="BQ62" i="5"/>
  <c r="BP62" i="5"/>
  <c r="BS61" i="5"/>
  <c r="BR61" i="5"/>
  <c r="BQ61" i="5"/>
  <c r="BP61" i="5"/>
  <c r="CT66" i="5"/>
  <c r="CB66" i="5"/>
  <c r="BK55" i="5"/>
  <c r="BQ55" i="5"/>
  <c r="BG55" i="5"/>
  <c r="BF55" i="5"/>
  <c r="BE14" i="5"/>
  <c r="BD73" i="5" s="1"/>
  <c r="DD14" i="5"/>
  <c r="DE14" i="5" s="1"/>
  <c r="BJ74" i="5" l="1"/>
  <c r="BJ75" i="5" s="1"/>
  <c r="BP65" i="5"/>
  <c r="BL65" i="5"/>
  <c r="BJ65" i="5"/>
  <c r="BK65" i="5"/>
  <c r="BD62" i="5"/>
  <c r="BE62" i="5"/>
  <c r="BF62" i="5"/>
  <c r="BG62" i="5"/>
  <c r="BD63" i="5"/>
  <c r="BE63" i="5"/>
  <c r="BF63" i="5"/>
  <c r="BG63" i="5"/>
  <c r="BD64" i="5"/>
  <c r="BE64" i="5"/>
  <c r="BF64" i="5"/>
  <c r="BG64" i="5"/>
  <c r="BE61" i="5"/>
  <c r="BF61" i="5"/>
  <c r="BG61" i="5"/>
  <c r="BD61" i="5"/>
  <c r="BD72" i="5"/>
  <c r="BD74" i="5" s="1"/>
  <c r="BD75" i="5" s="1"/>
  <c r="BS65" i="5"/>
  <c r="BQ65" i="5"/>
  <c r="BR65" i="5"/>
  <c r="BM65" i="5"/>
  <c r="BE55" i="5"/>
  <c r="DD55" i="5"/>
  <c r="BJ66" i="5" l="1"/>
  <c r="BP66" i="5"/>
  <c r="DE55" i="5"/>
  <c r="BD65" i="5"/>
  <c r="BE65" i="5"/>
  <c r="BE83" i="5"/>
  <c r="BD84" i="5" s="1"/>
  <c r="BG65" i="5"/>
  <c r="BF65" i="5" l="1"/>
  <c r="BD6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G12" authorId="0" shapeId="0" xr:uid="{87C5EE22-1754-43D0-B0BD-3A0C403C4904}">
      <text>
        <r>
          <rPr>
            <b/>
            <sz val="9"/>
            <color indexed="81"/>
            <rFont val="MS P ゴシック"/>
            <family val="3"/>
            <charset val="128"/>
          </rPr>
          <t>A重油への換算係数
　灯油：0.939
　LPガス：1.299
　LNG：1.560</t>
        </r>
      </text>
    </comment>
    <comment ref="AI12" authorId="0" shapeId="0" xr:uid="{8014A5D8-159C-4183-88A1-B6F7EB452720}">
      <text>
        <r>
          <rPr>
            <b/>
            <sz val="9"/>
            <color indexed="81"/>
            <rFont val="MS P ゴシック"/>
            <family val="3"/>
            <charset val="128"/>
          </rPr>
          <t>A重油への換算係数
　灯油：0.939
　LPガス：1.299
　LNG：1.560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<sst xmlns="http://schemas.openxmlformats.org/spreadsheetml/2006/main" count="884" uniqueCount="393">
  <si>
    <t>■ 使用上の注意事項</t>
    <rPh sb="2" eb="5">
      <t>シヨウジョウ</t>
    </rPh>
    <rPh sb="6" eb="8">
      <t>チュウイ</t>
    </rPh>
    <rPh sb="8" eb="10">
      <t>ジコウ</t>
    </rPh>
    <phoneticPr fontId="31"/>
  </si>
  <si>
    <t>１.</t>
    <phoneticPr fontId="31"/>
  </si>
  <si>
    <t>本ファイルの構成</t>
    <rPh sb="0" eb="1">
      <t>ホン</t>
    </rPh>
    <rPh sb="6" eb="8">
      <t>コウセイ</t>
    </rPh>
    <phoneticPr fontId="31"/>
  </si>
  <si>
    <t>・「留意事項」シート</t>
    <rPh sb="2" eb="4">
      <t>リュウイ</t>
    </rPh>
    <rPh sb="4" eb="6">
      <t>ジコウ</t>
    </rPh>
    <phoneticPr fontId="31"/>
  </si>
  <si>
    <t>・「管理シート」シート</t>
    <rPh sb="2" eb="4">
      <t>カンリ</t>
    </rPh>
    <phoneticPr fontId="31"/>
  </si>
  <si>
    <t>・「購入実績入力」シート</t>
    <rPh sb="2" eb="4">
      <t>コウニュウ</t>
    </rPh>
    <rPh sb="4" eb="6">
      <t>ジッセキ</t>
    </rPh>
    <rPh sb="6" eb="8">
      <t>ニュウリョク</t>
    </rPh>
    <phoneticPr fontId="6"/>
  </si>
  <si>
    <t>・「実績報告書」シート</t>
    <rPh sb="2" eb="7">
      <t>ジッセキホウコクショ</t>
    </rPh>
    <phoneticPr fontId="31"/>
  </si>
  <si>
    <t>２.</t>
    <phoneticPr fontId="31"/>
  </si>
  <si>
    <t>購入実績報告の方法について</t>
    <rPh sb="0" eb="2">
      <t>コウニュウ</t>
    </rPh>
    <rPh sb="2" eb="4">
      <t>ジッセキ</t>
    </rPh>
    <rPh sb="4" eb="6">
      <t>ホウコク</t>
    </rPh>
    <rPh sb="7" eb="9">
      <t>ホウホウ</t>
    </rPh>
    <phoneticPr fontId="31"/>
  </si>
  <si>
    <t>・購入実績報告の際は、以下手順に沿ってシート「購入実績入力」、「管理シート」および「実績報告書」を作成し、本エクセルファイルにより提出してください。</t>
    <rPh sb="1" eb="3">
      <t>コウニュウ</t>
    </rPh>
    <rPh sb="3" eb="5">
      <t>ジッセキ</t>
    </rPh>
    <rPh sb="5" eb="7">
      <t>ホウコク</t>
    </rPh>
    <rPh sb="8" eb="9">
      <t>サイ</t>
    </rPh>
    <rPh sb="11" eb="13">
      <t>イカ</t>
    </rPh>
    <rPh sb="13" eb="15">
      <t>テジュン</t>
    </rPh>
    <rPh sb="16" eb="17">
      <t>ソ</t>
    </rPh>
    <rPh sb="23" eb="25">
      <t>コウニュウ</t>
    </rPh>
    <rPh sb="25" eb="27">
      <t>ジッセキ</t>
    </rPh>
    <rPh sb="27" eb="29">
      <t>ニュウリョク</t>
    </rPh>
    <rPh sb="32" eb="34">
      <t>カンリ</t>
    </rPh>
    <rPh sb="42" eb="44">
      <t>ジッセキ</t>
    </rPh>
    <rPh sb="44" eb="47">
      <t>ホウコクショ</t>
    </rPh>
    <rPh sb="49" eb="51">
      <t>サクセイ</t>
    </rPh>
    <rPh sb="53" eb="54">
      <t>ホン</t>
    </rPh>
    <rPh sb="65" eb="67">
      <t>テイシュツ</t>
    </rPh>
    <phoneticPr fontId="31"/>
  </si>
  <si>
    <t>・当該月の燃料購入実績の証拠書類（領収書、納品伝票等）の写しを別途添付してください。</t>
    <rPh sb="31" eb="33">
      <t>ベット</t>
    </rPh>
    <rPh sb="33" eb="35">
      <t>テンプ</t>
    </rPh>
    <phoneticPr fontId="31"/>
  </si>
  <si>
    <t>・燃料代金を半年分まとめて支払う場合等、報告時に領収書が間に合わない場合は、初回報告時に理由書の提出が必要です。</t>
    <rPh sb="1" eb="3">
      <t>ネンリョウ</t>
    </rPh>
    <rPh sb="3" eb="5">
      <t>ダイキン</t>
    </rPh>
    <rPh sb="6" eb="8">
      <t>ハントシ</t>
    </rPh>
    <rPh sb="8" eb="9">
      <t>ブン</t>
    </rPh>
    <rPh sb="13" eb="15">
      <t>シハラ</t>
    </rPh>
    <rPh sb="16" eb="18">
      <t>バアイ</t>
    </rPh>
    <rPh sb="18" eb="19">
      <t>トウ</t>
    </rPh>
    <rPh sb="20" eb="22">
      <t>ホウコク</t>
    </rPh>
    <rPh sb="22" eb="23">
      <t>ジ</t>
    </rPh>
    <rPh sb="24" eb="27">
      <t>リョウシュウショ</t>
    </rPh>
    <rPh sb="28" eb="29">
      <t>マ</t>
    </rPh>
    <rPh sb="30" eb="31">
      <t>ア</t>
    </rPh>
    <rPh sb="34" eb="36">
      <t>バアイ</t>
    </rPh>
    <rPh sb="38" eb="40">
      <t>ショカイ</t>
    </rPh>
    <rPh sb="40" eb="42">
      <t>ホウコク</t>
    </rPh>
    <rPh sb="42" eb="43">
      <t>ジ</t>
    </rPh>
    <rPh sb="44" eb="47">
      <t>リユウショ</t>
    </rPh>
    <rPh sb="48" eb="50">
      <t>テイシュツ</t>
    </rPh>
    <rPh sb="51" eb="53">
      <t>ヒツヨウ</t>
    </rPh>
    <phoneticPr fontId="6"/>
  </si>
  <si>
    <t>　この場合、領収書が用意でき次第、速やかにご提出ください。</t>
    <rPh sb="3" eb="5">
      <t>バアイ</t>
    </rPh>
    <rPh sb="6" eb="9">
      <t>リョウシュウショ</t>
    </rPh>
    <rPh sb="10" eb="12">
      <t>ヨウイ</t>
    </rPh>
    <rPh sb="14" eb="16">
      <t>シダイ</t>
    </rPh>
    <rPh sb="17" eb="18">
      <t>スミ</t>
    </rPh>
    <rPh sb="22" eb="24">
      <t>テイシュツ</t>
    </rPh>
    <phoneticPr fontId="6"/>
  </si>
  <si>
    <t>３.</t>
    <phoneticPr fontId="31"/>
  </si>
  <si>
    <t>「購入実績入力」シートについて</t>
    <rPh sb="1" eb="3">
      <t>コウニュウ</t>
    </rPh>
    <rPh sb="3" eb="5">
      <t>ジッセキ</t>
    </rPh>
    <rPh sb="5" eb="7">
      <t>ニュウリョク</t>
    </rPh>
    <phoneticPr fontId="6"/>
  </si>
  <si>
    <t>・購入実績について、証拠書類を見ながら納入日別、燃料別に内容を入力してください。</t>
    <rPh sb="1" eb="3">
      <t>コウニュウ</t>
    </rPh>
    <rPh sb="3" eb="5">
      <t>ジッセキ</t>
    </rPh>
    <rPh sb="10" eb="12">
      <t>ショウコ</t>
    </rPh>
    <rPh sb="12" eb="14">
      <t>ショルイ</t>
    </rPh>
    <rPh sb="15" eb="16">
      <t>ミ</t>
    </rPh>
    <rPh sb="19" eb="22">
      <t>ノウニュウビ</t>
    </rPh>
    <rPh sb="22" eb="23">
      <t>ベツ</t>
    </rPh>
    <rPh sb="24" eb="26">
      <t>ネンリョウ</t>
    </rPh>
    <rPh sb="26" eb="27">
      <t>ベツ</t>
    </rPh>
    <rPh sb="28" eb="30">
      <t>ナイヨウ</t>
    </rPh>
    <rPh sb="31" eb="33">
      <t>ニュウリョク</t>
    </rPh>
    <phoneticPr fontId="6"/>
  </si>
  <si>
    <t>・入力した購入実績は、次の「管理シート」上の購入実績の欄に反映されます。</t>
    <rPh sb="1" eb="3">
      <t>ニュウリョク</t>
    </rPh>
    <rPh sb="5" eb="7">
      <t>コウニュウ</t>
    </rPh>
    <rPh sb="7" eb="9">
      <t>ジッセキ</t>
    </rPh>
    <rPh sb="11" eb="12">
      <t>ツギ</t>
    </rPh>
    <rPh sb="14" eb="16">
      <t>カンリ</t>
    </rPh>
    <rPh sb="20" eb="21">
      <t>ジョウ</t>
    </rPh>
    <rPh sb="22" eb="24">
      <t>コウニュウ</t>
    </rPh>
    <rPh sb="24" eb="26">
      <t>ジッセキ</t>
    </rPh>
    <rPh sb="27" eb="28">
      <t>ラン</t>
    </rPh>
    <rPh sb="29" eb="31">
      <t>ハンエイ</t>
    </rPh>
    <phoneticPr fontId="6"/>
  </si>
  <si>
    <t>４.</t>
    <phoneticPr fontId="31"/>
  </si>
  <si>
    <t>「管理シート」シートについて</t>
    <rPh sb="1" eb="3">
      <t>カンリ</t>
    </rPh>
    <phoneticPr fontId="31"/>
  </si>
  <si>
    <t>・事業参加者、コース、積立金、目標設定等の申請情報から、購入実績、補填金額等の交付状況まで一体的に管理する様式です。</t>
    <rPh sb="1" eb="3">
      <t>ジギョウ</t>
    </rPh>
    <rPh sb="3" eb="6">
      <t>サンカシャ</t>
    </rPh>
    <rPh sb="11" eb="14">
      <t>ツミタテキン</t>
    </rPh>
    <rPh sb="15" eb="17">
      <t>モクヒョウ</t>
    </rPh>
    <rPh sb="17" eb="19">
      <t>セッテイ</t>
    </rPh>
    <rPh sb="19" eb="20">
      <t>トウ</t>
    </rPh>
    <rPh sb="21" eb="23">
      <t>シンセイ</t>
    </rPh>
    <rPh sb="23" eb="25">
      <t>ジョウホウ</t>
    </rPh>
    <rPh sb="28" eb="30">
      <t>コウニュウ</t>
    </rPh>
    <rPh sb="30" eb="32">
      <t>ジッセキ</t>
    </rPh>
    <rPh sb="33" eb="35">
      <t>ホテン</t>
    </rPh>
    <rPh sb="35" eb="37">
      <t>キンガク</t>
    </rPh>
    <rPh sb="37" eb="38">
      <t>トウ</t>
    </rPh>
    <rPh sb="39" eb="41">
      <t>コウフ</t>
    </rPh>
    <rPh sb="41" eb="43">
      <t>ジョウキョウ</t>
    </rPh>
    <rPh sb="45" eb="48">
      <t>イッタイテキ</t>
    </rPh>
    <rPh sb="49" eb="51">
      <t>カンリ</t>
    </rPh>
    <rPh sb="53" eb="55">
      <t>ヨウシキ</t>
    </rPh>
    <phoneticPr fontId="31"/>
  </si>
  <si>
    <t>・各月の発動状況（補填金単価、補填対象割合）を表の上部の「発動状況」欄に入力してください。</t>
    <rPh sb="1" eb="3">
      <t>カクツキ</t>
    </rPh>
    <rPh sb="4" eb="6">
      <t>ハツドウ</t>
    </rPh>
    <rPh sb="6" eb="8">
      <t>ジョウキョウ</t>
    </rPh>
    <rPh sb="9" eb="11">
      <t>ホテン</t>
    </rPh>
    <rPh sb="11" eb="12">
      <t>キン</t>
    </rPh>
    <rPh sb="12" eb="14">
      <t>タンカ</t>
    </rPh>
    <rPh sb="15" eb="17">
      <t>ホテン</t>
    </rPh>
    <rPh sb="17" eb="19">
      <t>タイショウ</t>
    </rPh>
    <rPh sb="19" eb="21">
      <t>ワリアイ</t>
    </rPh>
    <rPh sb="23" eb="24">
      <t>ヒョウ</t>
    </rPh>
    <rPh sb="25" eb="27">
      <t>ジョウブ</t>
    </rPh>
    <rPh sb="29" eb="31">
      <t>ハツドウ</t>
    </rPh>
    <rPh sb="31" eb="33">
      <t>ジョウキョウ</t>
    </rPh>
    <rPh sb="34" eb="35">
      <t>ラン</t>
    </rPh>
    <rPh sb="36" eb="38">
      <t>ニュウリョク</t>
    </rPh>
    <phoneticPr fontId="31"/>
  </si>
  <si>
    <t>・各月の購入実績数量は、３．の手順で入力した数値が反映され、補填金額も自動で算出されます。</t>
    <rPh sb="1" eb="3">
      <t>カクツキ</t>
    </rPh>
    <rPh sb="15" eb="17">
      <t>テジュン</t>
    </rPh>
    <rPh sb="18" eb="20">
      <t>ニュウリョク</t>
    </rPh>
    <rPh sb="22" eb="24">
      <t>スウチ</t>
    </rPh>
    <rPh sb="25" eb="27">
      <t>ハンエイ</t>
    </rPh>
    <rPh sb="30" eb="32">
      <t>ホテン</t>
    </rPh>
    <rPh sb="32" eb="34">
      <t>キンガク</t>
    </rPh>
    <rPh sb="35" eb="37">
      <t>ジドウ</t>
    </rPh>
    <rPh sb="38" eb="40">
      <t>サンシュツ</t>
    </rPh>
    <phoneticPr fontId="31"/>
  </si>
  <si>
    <r>
      <t>・右端から３列目（DD列）の「農家積立金残額」を確認し、</t>
    </r>
    <r>
      <rPr>
        <sz val="11"/>
        <color rgb="FFFF0000"/>
        <rFont val="游ゴシック"/>
        <family val="3"/>
        <charset val="128"/>
        <scheme val="minor"/>
      </rPr>
      <t>マイナス</t>
    </r>
    <r>
      <rPr>
        <sz val="11"/>
        <color theme="1"/>
        <rFont val="游ゴシック"/>
        <family val="2"/>
        <charset val="128"/>
        <scheme val="minor"/>
      </rPr>
      <t>になった加入者がいたら、提出先の担当者に報告してください。</t>
    </r>
    <rPh sb="1" eb="3">
      <t>ミギハジ</t>
    </rPh>
    <rPh sb="6" eb="8">
      <t>レツメ</t>
    </rPh>
    <rPh sb="11" eb="12">
      <t>レツ</t>
    </rPh>
    <rPh sb="15" eb="17">
      <t>ノウカ</t>
    </rPh>
    <rPh sb="17" eb="20">
      <t>ツミタテキン</t>
    </rPh>
    <rPh sb="20" eb="22">
      <t>ザンガク</t>
    </rPh>
    <rPh sb="24" eb="26">
      <t>カクニン</t>
    </rPh>
    <rPh sb="36" eb="39">
      <t>カニュウシャ</t>
    </rPh>
    <rPh sb="44" eb="46">
      <t>テイシュツ</t>
    </rPh>
    <rPh sb="46" eb="47">
      <t>サキ</t>
    </rPh>
    <rPh sb="48" eb="51">
      <t>タントウシャ</t>
    </rPh>
    <rPh sb="52" eb="54">
      <t>ホウコク</t>
    </rPh>
    <phoneticPr fontId="31"/>
  </si>
  <si>
    <t>・積立金の分割納付を行う場合、第２回納付後、Ｖ列の「納付日」を入力してください。（R7.2等）</t>
    <rPh sb="1" eb="4">
      <t>ツミタテキン</t>
    </rPh>
    <rPh sb="5" eb="7">
      <t>ブンカツ</t>
    </rPh>
    <rPh sb="7" eb="9">
      <t>ノウフ</t>
    </rPh>
    <rPh sb="10" eb="11">
      <t>オコナ</t>
    </rPh>
    <rPh sb="12" eb="14">
      <t>バアイ</t>
    </rPh>
    <rPh sb="15" eb="16">
      <t>ダイ</t>
    </rPh>
    <rPh sb="17" eb="18">
      <t>カイ</t>
    </rPh>
    <rPh sb="18" eb="20">
      <t>ノウフ</t>
    </rPh>
    <rPh sb="20" eb="21">
      <t>ゴ</t>
    </rPh>
    <rPh sb="23" eb="24">
      <t>レツ</t>
    </rPh>
    <rPh sb="26" eb="29">
      <t>ノウフビ</t>
    </rPh>
    <rPh sb="31" eb="33">
      <t>ニュウリョク</t>
    </rPh>
    <rPh sb="45" eb="46">
      <t>トウ</t>
    </rPh>
    <phoneticPr fontId="31"/>
  </si>
  <si>
    <t>・一部項目はグループ化してあり、表示（＋）、非表示（－）が行えます。必要時以外は非表示としておいてください。</t>
    <rPh sb="1" eb="3">
      <t>イチブ</t>
    </rPh>
    <rPh sb="3" eb="5">
      <t>コウモク</t>
    </rPh>
    <rPh sb="10" eb="11">
      <t>カ</t>
    </rPh>
    <rPh sb="16" eb="18">
      <t>ヒョウジ</t>
    </rPh>
    <rPh sb="22" eb="25">
      <t>ヒヒョウジ</t>
    </rPh>
    <rPh sb="29" eb="30">
      <t>オコナ</t>
    </rPh>
    <rPh sb="34" eb="37">
      <t>ヒツヨウジ</t>
    </rPh>
    <rPh sb="37" eb="39">
      <t>イガイ</t>
    </rPh>
    <rPh sb="40" eb="43">
      <t>ヒヒョウジ</t>
    </rPh>
    <phoneticPr fontId="31"/>
  </si>
  <si>
    <t>５.</t>
    <phoneticPr fontId="31"/>
  </si>
  <si>
    <t>「実績報告書」シートについて</t>
    <rPh sb="1" eb="6">
      <t>ジッセキホウコクショ</t>
    </rPh>
    <phoneticPr fontId="31"/>
  </si>
  <si>
    <t>・本シートの右上に発番(任意)及び提出年月日を入力してください。</t>
    <rPh sb="1" eb="2">
      <t>ホン</t>
    </rPh>
    <rPh sb="6" eb="8">
      <t>ミギウエ</t>
    </rPh>
    <rPh sb="9" eb="11">
      <t>ハツバン</t>
    </rPh>
    <rPh sb="12" eb="14">
      <t>ニンイ</t>
    </rPh>
    <rPh sb="15" eb="16">
      <t>オヨ</t>
    </rPh>
    <rPh sb="17" eb="19">
      <t>テイシュツ</t>
    </rPh>
    <rPh sb="19" eb="22">
      <t>ネンガッピ</t>
    </rPh>
    <rPh sb="23" eb="25">
      <t>ニュウリョク</t>
    </rPh>
    <phoneticPr fontId="31"/>
  </si>
  <si>
    <t>・(農業者組織)に住所、団体名、代表者氏名を入力してください。</t>
    <rPh sb="2" eb="5">
      <t>ノウギョウシャ</t>
    </rPh>
    <rPh sb="5" eb="7">
      <t>ソシキ</t>
    </rPh>
    <rPh sb="9" eb="11">
      <t>ジュウショ</t>
    </rPh>
    <rPh sb="12" eb="15">
      <t>ダンタイメイ</t>
    </rPh>
    <rPh sb="16" eb="19">
      <t>ダイヒョウシャ</t>
    </rPh>
    <rPh sb="19" eb="21">
      <t>シメイ</t>
    </rPh>
    <rPh sb="22" eb="24">
      <t>ニュウリョク</t>
    </rPh>
    <phoneticPr fontId="31"/>
  </si>
  <si>
    <t>・欄外のK13セルに、実績報告の該当月を入力してください。</t>
    <rPh sb="1" eb="3">
      <t>ランガイ</t>
    </rPh>
    <rPh sb="11" eb="13">
      <t>ジッセキ</t>
    </rPh>
    <rPh sb="13" eb="15">
      <t>ホウコク</t>
    </rPh>
    <rPh sb="16" eb="18">
      <t>ガイトウ</t>
    </rPh>
    <rPh sb="18" eb="19">
      <t>ツキ</t>
    </rPh>
    <rPh sb="20" eb="22">
      <t>ニュウリョク</t>
    </rPh>
    <phoneticPr fontId="31"/>
  </si>
  <si>
    <t>　該当月を入力すると、「１ 施設園芸用燃料購入実績」に該当月の購入実績数量が表示されます。</t>
    <rPh sb="1" eb="4">
      <t>ガイトウヅキ</t>
    </rPh>
    <rPh sb="5" eb="7">
      <t>ニュウリョク</t>
    </rPh>
    <rPh sb="27" eb="30">
      <t>ガイトウヅキ</t>
    </rPh>
    <rPh sb="31" eb="33">
      <t>コウニュウ</t>
    </rPh>
    <rPh sb="33" eb="35">
      <t>ジッセキ</t>
    </rPh>
    <rPh sb="35" eb="37">
      <t>スウリョウ</t>
    </rPh>
    <rPh sb="38" eb="40">
      <t>ヒョウジ</t>
    </rPh>
    <phoneticPr fontId="31"/>
  </si>
  <si>
    <t>・「２ 補填金の振込口座」は、初回の報告又は変更があった場合に入力してください。</t>
    <rPh sb="31" eb="33">
      <t>ニュウリョク</t>
    </rPh>
    <phoneticPr fontId="31"/>
  </si>
  <si>
    <t>・2回目以降の購入実績報告時は、実績報告書シートをコピーして使用してください。（以下詳細）</t>
    <rPh sb="2" eb="4">
      <t>カイメ</t>
    </rPh>
    <rPh sb="4" eb="6">
      <t>イコウ</t>
    </rPh>
    <rPh sb="7" eb="9">
      <t>コウニュウ</t>
    </rPh>
    <rPh sb="9" eb="11">
      <t>ジッセキ</t>
    </rPh>
    <rPh sb="11" eb="13">
      <t>ホウコク</t>
    </rPh>
    <rPh sb="13" eb="14">
      <t>ジ</t>
    </rPh>
    <rPh sb="16" eb="18">
      <t>ジッセキ</t>
    </rPh>
    <rPh sb="18" eb="21">
      <t>ホウコクショ</t>
    </rPh>
    <rPh sb="30" eb="32">
      <t>シヨウ</t>
    </rPh>
    <rPh sb="40" eb="42">
      <t>イカ</t>
    </rPh>
    <rPh sb="42" eb="44">
      <t>ショウサイ</t>
    </rPh>
    <phoneticPr fontId="31"/>
  </si>
  <si>
    <t>　下部のシートタブの「実績報告書」を右クリックし、「移動又はコピー」を左クリック</t>
    <rPh sb="1" eb="3">
      <t>カブ</t>
    </rPh>
    <rPh sb="11" eb="13">
      <t>ジッセキ</t>
    </rPh>
    <rPh sb="13" eb="16">
      <t>ホウコクショ</t>
    </rPh>
    <rPh sb="18" eb="19">
      <t>ミギ</t>
    </rPh>
    <rPh sb="26" eb="28">
      <t>イドウ</t>
    </rPh>
    <rPh sb="28" eb="29">
      <t>マタ</t>
    </rPh>
    <rPh sb="35" eb="36">
      <t>ヒダリ</t>
    </rPh>
    <phoneticPr fontId="31"/>
  </si>
  <si>
    <t>　挿入先は(末尾へ移動)を選択し、「コピーを作成する」にチェックを入れ、OK</t>
    <rPh sb="1" eb="3">
      <t>ソウニュウ</t>
    </rPh>
    <rPh sb="3" eb="4">
      <t>サキ</t>
    </rPh>
    <rPh sb="6" eb="8">
      <t>マツビ</t>
    </rPh>
    <rPh sb="9" eb="11">
      <t>イドウ</t>
    </rPh>
    <rPh sb="13" eb="15">
      <t>センタク</t>
    </rPh>
    <rPh sb="22" eb="24">
      <t>サクセイ</t>
    </rPh>
    <rPh sb="33" eb="34">
      <t>イ</t>
    </rPh>
    <phoneticPr fontId="31"/>
  </si>
  <si>
    <t>　「実績報告書(2)」シートが作成されるので、該当月がわかるように名前を変更（「実績報告書_R6.11」等）</t>
    <rPh sb="2" eb="4">
      <t>ジッセキ</t>
    </rPh>
    <rPh sb="4" eb="7">
      <t>ホウコクショ</t>
    </rPh>
    <rPh sb="15" eb="17">
      <t>サクセイ</t>
    </rPh>
    <rPh sb="23" eb="25">
      <t>ガイトウ</t>
    </rPh>
    <rPh sb="25" eb="26">
      <t>ツキ</t>
    </rPh>
    <rPh sb="33" eb="35">
      <t>ナマエ</t>
    </rPh>
    <rPh sb="36" eb="38">
      <t>ヘンコウ</t>
    </rPh>
    <rPh sb="40" eb="42">
      <t>ジッセキ</t>
    </rPh>
    <rPh sb="42" eb="45">
      <t>ホウコクショ</t>
    </rPh>
    <rPh sb="52" eb="53">
      <t>トウ</t>
    </rPh>
    <phoneticPr fontId="31"/>
  </si>
  <si>
    <t>リスト</t>
    <phoneticPr fontId="6"/>
  </si>
  <si>
    <t>Ａ重油</t>
  </si>
  <si>
    <t>有</t>
    <rPh sb="0" eb="1">
      <t>アリ</t>
    </rPh>
    <phoneticPr fontId="6"/>
  </si>
  <si>
    <t>Ａ重油</t>
    <phoneticPr fontId="6"/>
  </si>
  <si>
    <t>灯油</t>
  </si>
  <si>
    <t>無</t>
    <rPh sb="0" eb="1">
      <t>ナシ</t>
    </rPh>
    <phoneticPr fontId="6"/>
  </si>
  <si>
    <t>灯油</t>
    <phoneticPr fontId="6"/>
  </si>
  <si>
    <t>ＬＰガス</t>
  </si>
  <si>
    <t>ＬＰガス</t>
    <phoneticPr fontId="6"/>
  </si>
  <si>
    <t>ＬＮＧ</t>
  </si>
  <si>
    <t>ＬＮＧ</t>
    <phoneticPr fontId="6"/>
  </si>
  <si>
    <t>10月</t>
    <rPh sb="2" eb="3">
      <t>ガツ</t>
    </rPh>
    <phoneticPr fontId="6"/>
  </si>
  <si>
    <t>11月</t>
    <rPh sb="2" eb="3">
      <t>ガツ</t>
    </rPh>
    <phoneticPr fontId="6"/>
  </si>
  <si>
    <t>12月</t>
    <rPh sb="2" eb="3">
      <t>ガツ</t>
    </rPh>
    <phoneticPr fontId="6"/>
  </si>
  <si>
    <t>1月</t>
    <rPh sb="1" eb="2">
      <t>ガツ</t>
    </rPh>
    <phoneticPr fontId="6"/>
  </si>
  <si>
    <t>2月</t>
    <rPh sb="1" eb="2">
      <t>ガツ</t>
    </rPh>
    <phoneticPr fontId="6"/>
  </si>
  <si>
    <t>3月</t>
    <rPh sb="1" eb="2">
      <t>ガツ</t>
    </rPh>
    <phoneticPr fontId="6"/>
  </si>
  <si>
    <t>4月</t>
    <rPh sb="1" eb="2">
      <t>ガツ</t>
    </rPh>
    <phoneticPr fontId="6"/>
  </si>
  <si>
    <t>5月</t>
    <rPh sb="1" eb="2">
      <t>ガツ</t>
    </rPh>
    <phoneticPr fontId="6"/>
  </si>
  <si>
    <t>6月</t>
    <rPh sb="1" eb="2">
      <t>ガツ</t>
    </rPh>
    <phoneticPr fontId="6"/>
  </si>
  <si>
    <t>協議会</t>
    <rPh sb="0" eb="3">
      <t>キョウギカイ</t>
    </rPh>
    <phoneticPr fontId="6"/>
  </si>
  <si>
    <t>支援
対象者
番号</t>
    <rPh sb="0" eb="2">
      <t>シエン</t>
    </rPh>
    <rPh sb="3" eb="6">
      <t>タイショウシャ</t>
    </rPh>
    <rPh sb="7" eb="9">
      <t>バンゴウ</t>
    </rPh>
    <phoneticPr fontId="6"/>
  </si>
  <si>
    <t>支援対象者名</t>
    <rPh sb="0" eb="5">
      <t>シエンタイショウシャ</t>
    </rPh>
    <rPh sb="5" eb="6">
      <t>メイ</t>
    </rPh>
    <phoneticPr fontId="6"/>
  </si>
  <si>
    <t>代表者役職・氏名</t>
    <rPh sb="0" eb="3">
      <t>ダイヒョウシャ</t>
    </rPh>
    <rPh sb="3" eb="5">
      <t>ヤクショク</t>
    </rPh>
    <rPh sb="6" eb="8">
      <t>シメイ</t>
    </rPh>
    <phoneticPr fontId="6"/>
  </si>
  <si>
    <t>郵便番号</t>
    <rPh sb="0" eb="4">
      <t>ユウビンバンゴウ</t>
    </rPh>
    <phoneticPr fontId="6"/>
  </si>
  <si>
    <t>住所</t>
    <rPh sb="0" eb="2">
      <t>ジュウショ</t>
    </rPh>
    <phoneticPr fontId="6"/>
  </si>
  <si>
    <t>省エネルギー等対策推進計画期間</t>
    <rPh sb="0" eb="1">
      <t>ショウ</t>
    </rPh>
    <rPh sb="6" eb="7">
      <t>トウ</t>
    </rPh>
    <rPh sb="7" eb="9">
      <t>タイサク</t>
    </rPh>
    <rPh sb="9" eb="13">
      <t>スイシンケイカク</t>
    </rPh>
    <rPh sb="13" eb="15">
      <t>キカン</t>
    </rPh>
    <phoneticPr fontId="6"/>
  </si>
  <si>
    <t>対象期間</t>
    <rPh sb="0" eb="2">
      <t>タイショウ</t>
    </rPh>
    <rPh sb="2" eb="4">
      <t>キカン</t>
    </rPh>
    <phoneticPr fontId="6"/>
  </si>
  <si>
    <t>農家
番号</t>
    <rPh sb="0" eb="2">
      <t>ノウカ</t>
    </rPh>
    <rPh sb="3" eb="5">
      <t>バンゴウ</t>
    </rPh>
    <phoneticPr fontId="6"/>
  </si>
  <si>
    <t>追加等整理欄</t>
    <rPh sb="0" eb="3">
      <t>ツイカトウ</t>
    </rPh>
    <rPh sb="3" eb="6">
      <t>セイリラン</t>
    </rPh>
    <phoneticPr fontId="6"/>
  </si>
  <si>
    <t>氏名</t>
    <rPh sb="0" eb="2">
      <t>シメイ</t>
    </rPh>
    <phoneticPr fontId="6"/>
  </si>
  <si>
    <t>コース</t>
    <phoneticPr fontId="6"/>
  </si>
  <si>
    <t>燃料別</t>
    <rPh sb="0" eb="3">
      <t>ネンリョウベツ</t>
    </rPh>
    <phoneticPr fontId="6"/>
  </si>
  <si>
    <t>燃料購入
予定数量
（ﾘｯﾄﾙ、㎏、㎥)</t>
    <rPh sb="0" eb="2">
      <t>ネンリョウ</t>
    </rPh>
    <rPh sb="2" eb="4">
      <t>コウニュウ</t>
    </rPh>
    <rPh sb="5" eb="7">
      <t>ヨテイ</t>
    </rPh>
    <rPh sb="7" eb="9">
      <t>スウリョウ</t>
    </rPh>
    <phoneticPr fontId="6"/>
  </si>
  <si>
    <t>燃料補填金
積立必要額
（円）</t>
    <rPh sb="0" eb="2">
      <t>ネンリョウ</t>
    </rPh>
    <rPh sb="2" eb="4">
      <t>ホテン</t>
    </rPh>
    <rPh sb="4" eb="5">
      <t>キン</t>
    </rPh>
    <rPh sb="6" eb="8">
      <t>ツミタテ</t>
    </rPh>
    <rPh sb="8" eb="10">
      <t>ヒツヨウ</t>
    </rPh>
    <rPh sb="10" eb="11">
      <t>ガク</t>
    </rPh>
    <rPh sb="13" eb="14">
      <t>エン</t>
    </rPh>
    <phoneticPr fontId="6"/>
  </si>
  <si>
    <t>補助金
所要見込額
（円）</t>
    <rPh sb="0" eb="3">
      <t>ホジョキン</t>
    </rPh>
    <rPh sb="4" eb="6">
      <t>ショヨウ</t>
    </rPh>
    <rPh sb="6" eb="8">
      <t>ミコミ</t>
    </rPh>
    <rPh sb="8" eb="9">
      <t>ガク</t>
    </rPh>
    <rPh sb="11" eb="12">
      <t>エン</t>
    </rPh>
    <phoneticPr fontId="6"/>
  </si>
  <si>
    <t>経営温室面積（a）</t>
    <rPh sb="0" eb="2">
      <t>ケイエイ</t>
    </rPh>
    <rPh sb="2" eb="4">
      <t>オンシツ</t>
    </rPh>
    <rPh sb="4" eb="6">
      <t>メンセキ</t>
    </rPh>
    <phoneticPr fontId="6"/>
  </si>
  <si>
    <t>燃料使用量</t>
    <rPh sb="0" eb="2">
      <t>ネンリョウ</t>
    </rPh>
    <rPh sb="2" eb="5">
      <t>シヨウリョウ</t>
    </rPh>
    <phoneticPr fontId="6"/>
  </si>
  <si>
    <t>生産量</t>
    <rPh sb="0" eb="3">
      <t>セイサンリョウ</t>
    </rPh>
    <phoneticPr fontId="6"/>
  </si>
  <si>
    <t>省エネ設備・生産性向上設備導入計画</t>
    <rPh sb="0" eb="1">
      <t>ショウ</t>
    </rPh>
    <rPh sb="3" eb="5">
      <t>セツビ</t>
    </rPh>
    <rPh sb="6" eb="9">
      <t>セイサンセイ</t>
    </rPh>
    <rPh sb="9" eb="11">
      <t>コウジョウ</t>
    </rPh>
    <rPh sb="11" eb="13">
      <t>セツビ</t>
    </rPh>
    <rPh sb="13" eb="15">
      <t>ドウニュウ</t>
    </rPh>
    <rPh sb="15" eb="17">
      <t>ケイカク</t>
    </rPh>
    <phoneticPr fontId="6"/>
  </si>
  <si>
    <t>補填金交付額
のうち
農家積立金額
（10～6月）</t>
    <rPh sb="0" eb="3">
      <t>ホテンキン</t>
    </rPh>
    <rPh sb="3" eb="5">
      <t>コウフ</t>
    </rPh>
    <rPh sb="5" eb="6">
      <t>ガク</t>
    </rPh>
    <rPh sb="11" eb="13">
      <t>ノウカ</t>
    </rPh>
    <rPh sb="13" eb="16">
      <t>ツミタテキン</t>
    </rPh>
    <rPh sb="16" eb="17">
      <t>ガク</t>
    </rPh>
    <rPh sb="23" eb="24">
      <t>ガツ</t>
    </rPh>
    <phoneticPr fontId="6"/>
  </si>
  <si>
    <t>農家積立金残額</t>
    <rPh sb="0" eb="2">
      <t>ノウカ</t>
    </rPh>
    <rPh sb="2" eb="5">
      <t>ツミタテキン</t>
    </rPh>
    <rPh sb="5" eb="7">
      <t>ザンガク</t>
    </rPh>
    <phoneticPr fontId="6"/>
  </si>
  <si>
    <t>積立金残高０
発生月</t>
    <rPh sb="0" eb="3">
      <t>ツミタテキン</t>
    </rPh>
    <rPh sb="3" eb="5">
      <t>ザンダカ</t>
    </rPh>
    <phoneticPr fontId="6"/>
  </si>
  <si>
    <t>年間燃料購入
実績</t>
    <rPh sb="0" eb="2">
      <t>ネンカン</t>
    </rPh>
    <phoneticPr fontId="6"/>
  </si>
  <si>
    <t>電気ヒートポンプ導入状況</t>
    <rPh sb="0" eb="2">
      <t>デンキ</t>
    </rPh>
    <rPh sb="8" eb="10">
      <t>ドウニュウ</t>
    </rPh>
    <rPh sb="10" eb="12">
      <t>ジョウキョウ</t>
    </rPh>
    <phoneticPr fontId="6"/>
  </si>
  <si>
    <t>ガスヒートポンプ導入状況</t>
    <rPh sb="8" eb="10">
      <t>ドウニュウ</t>
    </rPh>
    <rPh sb="10" eb="12">
      <t>ジョウキョウ</t>
    </rPh>
    <phoneticPr fontId="6"/>
  </si>
  <si>
    <t>その他の省エネ設備・生産性向上設備</t>
    <rPh sb="2" eb="3">
      <t>タ</t>
    </rPh>
    <rPh sb="4" eb="5">
      <t>ショウ</t>
    </rPh>
    <rPh sb="7" eb="9">
      <t>セツビ</t>
    </rPh>
    <rPh sb="10" eb="15">
      <t>セイサンセイコウジョウ</t>
    </rPh>
    <rPh sb="15" eb="17">
      <t>セツビ</t>
    </rPh>
    <phoneticPr fontId="6"/>
  </si>
  <si>
    <t>第１回納付
（円）②</t>
    <rPh sb="0" eb="1">
      <t>ダイ</t>
    </rPh>
    <rPh sb="2" eb="3">
      <t>カイ</t>
    </rPh>
    <rPh sb="3" eb="5">
      <t>ノウフ</t>
    </rPh>
    <rPh sb="7" eb="8">
      <t>エン</t>
    </rPh>
    <phoneticPr fontId="6"/>
  </si>
  <si>
    <t>納付日</t>
    <rPh sb="0" eb="2">
      <t>ノウフ</t>
    </rPh>
    <rPh sb="2" eb="3">
      <t>ビ</t>
    </rPh>
    <phoneticPr fontId="6"/>
  </si>
  <si>
    <t>第２回納付
（円）③</t>
    <phoneticPr fontId="6"/>
  </si>
  <si>
    <t>納付日</t>
    <rPh sb="0" eb="3">
      <t>ノウフビ</t>
    </rPh>
    <phoneticPr fontId="6"/>
  </si>
  <si>
    <t>積立金納付額
①+②+③</t>
    <rPh sb="0" eb="3">
      <t>ツミタテキン</t>
    </rPh>
    <rPh sb="3" eb="5">
      <t>ノウフ</t>
    </rPh>
    <rPh sb="5" eb="6">
      <t>ガク</t>
    </rPh>
    <phoneticPr fontId="6"/>
  </si>
  <si>
    <t>現在</t>
    <rPh sb="0" eb="2">
      <t>ゲンザイ</t>
    </rPh>
    <phoneticPr fontId="6"/>
  </si>
  <si>
    <t>目標</t>
    <rPh sb="0" eb="2">
      <t>モクヒョウ</t>
    </rPh>
    <phoneticPr fontId="6"/>
  </si>
  <si>
    <t>うち
Ａ重油</t>
    <rPh sb="3" eb="6">
      <t>アジュウユ</t>
    </rPh>
    <phoneticPr fontId="6"/>
  </si>
  <si>
    <t>うち
灯油</t>
    <rPh sb="3" eb="5">
      <t>トウユ</t>
    </rPh>
    <phoneticPr fontId="6"/>
  </si>
  <si>
    <t>うち
ＬＰガス</t>
    <phoneticPr fontId="6"/>
  </si>
  <si>
    <t>うち
ＬＮＧ</t>
    <phoneticPr fontId="6"/>
  </si>
  <si>
    <t>現在（ﾘｯﾄﾙ、㎏、㎥)</t>
    <rPh sb="0" eb="2">
      <t>ゲンザイ</t>
    </rPh>
    <phoneticPr fontId="6"/>
  </si>
  <si>
    <t>目標（ﾘｯﾄﾙ、㎏、㎥)</t>
    <rPh sb="0" eb="2">
      <t>モクヒョウ</t>
    </rPh>
    <phoneticPr fontId="6"/>
  </si>
  <si>
    <t>品目</t>
    <rPh sb="0" eb="2">
      <t>ヒンモク</t>
    </rPh>
    <phoneticPr fontId="6"/>
  </si>
  <si>
    <t>現在（㎏）</t>
    <rPh sb="0" eb="2">
      <t>ゲンザイ</t>
    </rPh>
    <phoneticPr fontId="6"/>
  </si>
  <si>
    <t>目標（㎏）</t>
    <rPh sb="0" eb="2">
      <t>モクヒョウ</t>
    </rPh>
    <phoneticPr fontId="6"/>
  </si>
  <si>
    <t>導入済</t>
    <rPh sb="0" eb="3">
      <t>ドウニュウズミ</t>
    </rPh>
    <phoneticPr fontId="6"/>
  </si>
  <si>
    <t>導入予定</t>
    <rPh sb="0" eb="4">
      <t>ドウニュウヨテイ</t>
    </rPh>
    <phoneticPr fontId="6"/>
  </si>
  <si>
    <t>補填金
単価</t>
    <rPh sb="0" eb="2">
      <t>ホテン</t>
    </rPh>
    <rPh sb="2" eb="3">
      <t>キン</t>
    </rPh>
    <rPh sb="4" eb="6">
      <t>タンカ</t>
    </rPh>
    <phoneticPr fontId="18"/>
  </si>
  <si>
    <t>燃料購入
実績
(ℓ,㎏,㎥)</t>
    <rPh sb="0" eb="2">
      <t>ネンリョウ</t>
    </rPh>
    <rPh sb="2" eb="4">
      <t>コウニュウ</t>
    </rPh>
    <rPh sb="5" eb="7">
      <t>ジッセキ</t>
    </rPh>
    <phoneticPr fontId="18"/>
  </si>
  <si>
    <t>補填対象
数量
(ℓ,㎏,㎥)</t>
    <rPh sb="0" eb="2">
      <t>ホテン</t>
    </rPh>
    <rPh sb="2" eb="4">
      <t>タイショウ</t>
    </rPh>
    <rPh sb="5" eb="7">
      <t>スウリョウ</t>
    </rPh>
    <phoneticPr fontId="18"/>
  </si>
  <si>
    <t>補填金額
（円）</t>
    <rPh sb="0" eb="2">
      <t>ホテン</t>
    </rPh>
    <rPh sb="2" eb="4">
      <t>キンガク</t>
    </rPh>
    <rPh sb="6" eb="7">
      <t>エン</t>
    </rPh>
    <phoneticPr fontId="18"/>
  </si>
  <si>
    <t>うち
積立金</t>
    <rPh sb="3" eb="6">
      <t>ツミタテキン</t>
    </rPh>
    <phoneticPr fontId="18"/>
  </si>
  <si>
    <t>うち
補助金</t>
    <rPh sb="3" eb="6">
      <t>ホジョキン</t>
    </rPh>
    <phoneticPr fontId="18"/>
  </si>
  <si>
    <t>Ａ重油換算値
（ﾘｯﾄﾙ)</t>
    <rPh sb="3" eb="5">
      <t>カンザン</t>
    </rPh>
    <rPh sb="5" eb="6">
      <t>チ</t>
    </rPh>
    <phoneticPr fontId="6"/>
  </si>
  <si>
    <t>台数</t>
  </si>
  <si>
    <t>温室面積
(a)</t>
    <rPh sb="0" eb="4">
      <t>オンシツメンセキ</t>
    </rPh>
    <phoneticPr fontId="6"/>
  </si>
  <si>
    <t>台数</t>
    <rPh sb="0" eb="2">
      <t>ダイスウ</t>
    </rPh>
    <phoneticPr fontId="6"/>
  </si>
  <si>
    <t>事業年度</t>
    <rPh sb="0" eb="4">
      <t>ジギョウネンド</t>
    </rPh>
    <phoneticPr fontId="6"/>
  </si>
  <si>
    <t>設備名</t>
    <rPh sb="0" eb="2">
      <t>セツビ</t>
    </rPh>
    <rPh sb="2" eb="3">
      <t>メイ</t>
    </rPh>
    <phoneticPr fontId="6"/>
  </si>
  <si>
    <t>集計</t>
  </si>
  <si>
    <t>10a当たり</t>
  </si>
  <si>
    <t>単位生産量当たり</t>
  </si>
  <si>
    <t>現状</t>
    <rPh sb="0" eb="2">
      <t>ゲンジョウ</t>
    </rPh>
    <phoneticPr fontId="6"/>
  </si>
  <si>
    <t>導入後</t>
    <rPh sb="0" eb="3">
      <t>ドウニュウゴ</t>
    </rPh>
    <phoneticPr fontId="6"/>
  </si>
  <si>
    <t>（記入の留意事項）</t>
    <rPh sb="1" eb="3">
      <t>キニュウ</t>
    </rPh>
    <rPh sb="4" eb="6">
      <t>リュウイ</t>
    </rPh>
    <rPh sb="6" eb="8">
      <t>ジコウ</t>
    </rPh>
    <phoneticPr fontId="18"/>
  </si>
  <si>
    <t>＜積立金額＞</t>
    <rPh sb="1" eb="3">
      <t>ツミタテ</t>
    </rPh>
    <rPh sb="3" eb="4">
      <t>キン</t>
    </rPh>
    <rPh sb="4" eb="5">
      <t>ガク</t>
    </rPh>
    <phoneticPr fontId="6"/>
  </si>
  <si>
    <t>＜燃料購入予定数量＞</t>
    <rPh sb="1" eb="3">
      <t>ネンリョウ</t>
    </rPh>
    <rPh sb="3" eb="9">
      <t>コウニュウヨテイスウリョウ</t>
    </rPh>
    <phoneticPr fontId="6"/>
  </si>
  <si>
    <t>＜燃料使用量：現在値＞</t>
    <rPh sb="1" eb="3">
      <t>ネンリョウ</t>
    </rPh>
    <rPh sb="3" eb="6">
      <t>シヨウリョウ</t>
    </rPh>
    <rPh sb="7" eb="10">
      <t>ゲンザイチ</t>
    </rPh>
    <phoneticPr fontId="6"/>
  </si>
  <si>
    <t>10月分補填金交付</t>
    <rPh sb="2" eb="3">
      <t>ガツ</t>
    </rPh>
    <rPh sb="3" eb="4">
      <t>ブン</t>
    </rPh>
    <rPh sb="4" eb="7">
      <t>ホテンキン</t>
    </rPh>
    <rPh sb="7" eb="9">
      <t>コウフ</t>
    </rPh>
    <phoneticPr fontId="6"/>
  </si>
  <si>
    <t>11月分補填金交付</t>
    <rPh sb="2" eb="3">
      <t>ガツ</t>
    </rPh>
    <rPh sb="3" eb="4">
      <t>ブン</t>
    </rPh>
    <rPh sb="4" eb="7">
      <t>ホテンキン</t>
    </rPh>
    <rPh sb="7" eb="9">
      <t>コウフ</t>
    </rPh>
    <phoneticPr fontId="6"/>
  </si>
  <si>
    <t>12月分補填金交付</t>
    <rPh sb="2" eb="3">
      <t>ガツ</t>
    </rPh>
    <rPh sb="3" eb="4">
      <t>ブン</t>
    </rPh>
    <rPh sb="4" eb="7">
      <t>ホテンキン</t>
    </rPh>
    <rPh sb="7" eb="9">
      <t>コウフ</t>
    </rPh>
    <phoneticPr fontId="6"/>
  </si>
  <si>
    <t>1月分補填金交付</t>
    <rPh sb="1" eb="2">
      <t>ガツ</t>
    </rPh>
    <rPh sb="2" eb="3">
      <t>ブン</t>
    </rPh>
    <rPh sb="3" eb="6">
      <t>ホテンキン</t>
    </rPh>
    <rPh sb="6" eb="8">
      <t>コウフ</t>
    </rPh>
    <phoneticPr fontId="6"/>
  </si>
  <si>
    <t>2月分補填金交付</t>
    <rPh sb="1" eb="2">
      <t>ガツ</t>
    </rPh>
    <rPh sb="2" eb="3">
      <t>ブン</t>
    </rPh>
    <rPh sb="3" eb="6">
      <t>ホテンキン</t>
    </rPh>
    <rPh sb="6" eb="8">
      <t>コウフ</t>
    </rPh>
    <phoneticPr fontId="6"/>
  </si>
  <si>
    <t>3月分補填金交付</t>
    <rPh sb="1" eb="2">
      <t>ガツ</t>
    </rPh>
    <rPh sb="2" eb="3">
      <t>ブン</t>
    </rPh>
    <rPh sb="3" eb="6">
      <t>ホテンキン</t>
    </rPh>
    <rPh sb="6" eb="8">
      <t>コウフ</t>
    </rPh>
    <phoneticPr fontId="6"/>
  </si>
  <si>
    <t>4月分補填金交付</t>
    <rPh sb="1" eb="2">
      <t>ガツ</t>
    </rPh>
    <rPh sb="2" eb="3">
      <t>ブン</t>
    </rPh>
    <rPh sb="3" eb="6">
      <t>ホテンキン</t>
    </rPh>
    <rPh sb="6" eb="8">
      <t>コウフ</t>
    </rPh>
    <phoneticPr fontId="6"/>
  </si>
  <si>
    <t>5月分補填金交付</t>
    <rPh sb="1" eb="2">
      <t>ガツ</t>
    </rPh>
    <rPh sb="2" eb="3">
      <t>ブン</t>
    </rPh>
    <rPh sb="3" eb="6">
      <t>ホテンキン</t>
    </rPh>
    <rPh sb="6" eb="8">
      <t>コウフ</t>
    </rPh>
    <phoneticPr fontId="6"/>
  </si>
  <si>
    <t>6月分補填金交付</t>
    <rPh sb="1" eb="2">
      <t>ガツ</t>
    </rPh>
    <rPh sb="2" eb="3">
      <t>ブン</t>
    </rPh>
    <rPh sb="3" eb="6">
      <t>ホテンキン</t>
    </rPh>
    <rPh sb="6" eb="8">
      <t>コウフ</t>
    </rPh>
    <phoneticPr fontId="6"/>
  </si>
  <si>
    <t>・農家個人ごとの整理番号で整理。</t>
    <rPh sb="1" eb="3">
      <t>ノウカ</t>
    </rPh>
    <rPh sb="3" eb="5">
      <t>コジン</t>
    </rPh>
    <rPh sb="8" eb="10">
      <t>セイリ</t>
    </rPh>
    <rPh sb="10" eb="12">
      <t>バンゴウ</t>
    </rPh>
    <rPh sb="13" eb="15">
      <t>セイリ</t>
    </rPh>
    <phoneticPr fontId="18"/>
  </si>
  <si>
    <t>灯油</t>
    <rPh sb="0" eb="2">
      <t>トウユ</t>
    </rPh>
    <phoneticPr fontId="6"/>
  </si>
  <si>
    <t>合計</t>
    <rPh sb="0" eb="2">
      <t>ゴウケイ</t>
    </rPh>
    <phoneticPr fontId="6"/>
  </si>
  <si>
    <t>Ａ重油換算</t>
    <rPh sb="0" eb="3">
      <t>アジュウユ</t>
    </rPh>
    <rPh sb="3" eb="5">
      <t>カンサン</t>
    </rPh>
    <phoneticPr fontId="6"/>
  </si>
  <si>
    <t>＜農業者件数＞</t>
  </si>
  <si>
    <t>・セーフティネットで複数燃料を対象にする農家は２行にわたって記載。２行目はセーフティネットの当該燃料に係る必要事項のみの記入で可。</t>
    <rPh sb="10" eb="12">
      <t>フクスウ</t>
    </rPh>
    <rPh sb="12" eb="14">
      <t>ネンリョウ</t>
    </rPh>
    <rPh sb="15" eb="17">
      <t>タイショウ</t>
    </rPh>
    <rPh sb="20" eb="22">
      <t>ノウカ</t>
    </rPh>
    <rPh sb="24" eb="25">
      <t>ギョウ</t>
    </rPh>
    <rPh sb="30" eb="32">
      <t>キサイ</t>
    </rPh>
    <rPh sb="34" eb="36">
      <t>ギョウメ</t>
    </rPh>
    <rPh sb="46" eb="48">
      <t>トウガイ</t>
    </rPh>
    <rPh sb="48" eb="50">
      <t>ネンリョウ</t>
    </rPh>
    <rPh sb="51" eb="52">
      <t>カカ</t>
    </rPh>
    <rPh sb="53" eb="55">
      <t>ヒツヨウ</t>
    </rPh>
    <rPh sb="55" eb="57">
      <t>ジコウ</t>
    </rPh>
    <rPh sb="60" eb="62">
      <t>キニュウ</t>
    </rPh>
    <rPh sb="63" eb="64">
      <t>カ</t>
    </rPh>
    <phoneticPr fontId="18"/>
  </si>
  <si>
    <t>130%</t>
  </si>
  <si>
    <t>150%</t>
  </si>
  <si>
    <t>＜燃料使用量：目標＞</t>
    <rPh sb="1" eb="3">
      <t>ネンリョウ</t>
    </rPh>
    <rPh sb="3" eb="6">
      <t>シヨウリョウ</t>
    </rPh>
    <rPh sb="7" eb="9">
      <t>モクヒョウ</t>
    </rPh>
    <phoneticPr fontId="6"/>
  </si>
  <si>
    <r>
      <rPr>
        <u/>
        <sz val="11"/>
        <color theme="1"/>
        <rFont val="ＭＳ Ｐゴシック"/>
        <family val="3"/>
        <charset val="128"/>
      </rPr>
      <t>・離農又は何らかの理由により省エネルギー等対策推進計画から離脱した場合には</t>
    </r>
    <r>
      <rPr>
        <sz val="11"/>
        <color theme="1"/>
        <rFont val="ＭＳ Ｐゴシック"/>
        <family val="3"/>
        <charset val="128"/>
      </rPr>
      <t>、</t>
    </r>
    <r>
      <rPr>
        <b/>
        <u/>
        <sz val="11"/>
        <color theme="1"/>
        <rFont val="ＭＳ Ｐゴシック"/>
        <family val="3"/>
        <charset val="128"/>
      </rPr>
      <t>温室面積及び燃油使用量の現在欄</t>
    </r>
    <r>
      <rPr>
        <sz val="11"/>
        <color theme="1"/>
        <rFont val="ＭＳ Ｐゴシック"/>
        <family val="3"/>
        <charset val="128"/>
      </rPr>
      <t>の計数はそのまま残しておき、</t>
    </r>
    <rPh sb="1" eb="3">
      <t>リノウ</t>
    </rPh>
    <rPh sb="3" eb="4">
      <t>マタ</t>
    </rPh>
    <rPh sb="5" eb="6">
      <t>ナン</t>
    </rPh>
    <rPh sb="9" eb="11">
      <t>リユウ</t>
    </rPh>
    <rPh sb="14" eb="15">
      <t>ショウ</t>
    </rPh>
    <rPh sb="20" eb="21">
      <t>トウ</t>
    </rPh>
    <rPh sb="21" eb="23">
      <t>タイサク</t>
    </rPh>
    <rPh sb="23" eb="25">
      <t>スイシン</t>
    </rPh>
    <rPh sb="25" eb="27">
      <t>ケイカク</t>
    </rPh>
    <rPh sb="29" eb="31">
      <t>リダツ</t>
    </rPh>
    <rPh sb="33" eb="35">
      <t>バアイ</t>
    </rPh>
    <rPh sb="38" eb="40">
      <t>オンシツ</t>
    </rPh>
    <rPh sb="40" eb="42">
      <t>メンセキ</t>
    </rPh>
    <rPh sb="42" eb="43">
      <t>オヨ</t>
    </rPh>
    <rPh sb="44" eb="46">
      <t>ネンユ</t>
    </rPh>
    <rPh sb="46" eb="49">
      <t>シヨウリョウ</t>
    </rPh>
    <rPh sb="50" eb="52">
      <t>ゲンザイ</t>
    </rPh>
    <rPh sb="52" eb="53">
      <t>ラン</t>
    </rPh>
    <phoneticPr fontId="18"/>
  </si>
  <si>
    <t>170%</t>
  </si>
  <si>
    <t>Ａ重油換算</t>
    <rPh sb="0" eb="5">
      <t>アジュウユカンサン</t>
    </rPh>
    <phoneticPr fontId="6"/>
  </si>
  <si>
    <t>目標欄は「０」にすること。</t>
    <phoneticPr fontId="18"/>
  </si>
  <si>
    <t>小計</t>
    <rPh sb="0" eb="2">
      <t>ショウケイ</t>
    </rPh>
    <phoneticPr fontId="6"/>
  </si>
  <si>
    <t>！数式が崩れますので、行が足りない場合は間に挿入して追加してください</t>
    <phoneticPr fontId="6"/>
  </si>
  <si>
    <t>計</t>
    <rPh sb="0" eb="1">
      <t>ケイ</t>
    </rPh>
    <phoneticPr fontId="6"/>
  </si>
  <si>
    <t>件数合計</t>
    <rPh sb="0" eb="4">
      <t>ケンスウゴウケイ</t>
    </rPh>
    <phoneticPr fontId="6"/>
  </si>
  <si>
    <t>＜交付額＞</t>
    <rPh sb="1" eb="4">
      <t>コウフガク</t>
    </rPh>
    <phoneticPr fontId="6"/>
  </si>
  <si>
    <t>補填金合計</t>
    <rPh sb="0" eb="3">
      <t>ホテンキン</t>
    </rPh>
    <rPh sb="3" eb="5">
      <t>ゴウケイ</t>
    </rPh>
    <phoneticPr fontId="6"/>
  </si>
  <si>
    <t>＜燃料購入数量実績＞</t>
    <rPh sb="1" eb="3">
      <t>ネンリョウ</t>
    </rPh>
    <rPh sb="3" eb="5">
      <t>コウニュウ</t>
    </rPh>
    <rPh sb="5" eb="7">
      <t>スウリョウ</t>
    </rPh>
    <rPh sb="7" eb="9">
      <t>ジッセキ</t>
    </rPh>
    <phoneticPr fontId="6"/>
  </si>
  <si>
    <t>購入数量合計</t>
    <rPh sb="0" eb="2">
      <t>コウニュウ</t>
    </rPh>
    <rPh sb="2" eb="4">
      <t>スウリョウ</t>
    </rPh>
    <rPh sb="4" eb="6">
      <t>ゴウケイ</t>
    </rPh>
    <phoneticPr fontId="6"/>
  </si>
  <si>
    <t>＜補填対象数量＞</t>
    <rPh sb="1" eb="3">
      <t>ホテン</t>
    </rPh>
    <rPh sb="3" eb="5">
      <t>タイショウ</t>
    </rPh>
    <rPh sb="5" eb="7">
      <t>スウリョウ</t>
    </rPh>
    <phoneticPr fontId="6"/>
  </si>
  <si>
    <t>補填対象数量合計</t>
    <rPh sb="0" eb="2">
      <t>ホテン</t>
    </rPh>
    <rPh sb="2" eb="4">
      <t>タイショウ</t>
    </rPh>
    <rPh sb="4" eb="6">
      <t>スウリョウ</t>
    </rPh>
    <rPh sb="6" eb="8">
      <t>ゴウケイ</t>
    </rPh>
    <phoneticPr fontId="6"/>
  </si>
  <si>
    <t>購入実績入力シート</t>
    <rPh sb="0" eb="2">
      <t>コウニュウ</t>
    </rPh>
    <rPh sb="2" eb="4">
      <t>ジッセキ</t>
    </rPh>
    <rPh sb="4" eb="6">
      <t>ニュウリョク</t>
    </rPh>
    <phoneticPr fontId="6"/>
  </si>
  <si>
    <t>変更しないでください。</t>
    <rPh sb="0" eb="2">
      <t>ヘンコウ</t>
    </rPh>
    <phoneticPr fontId="6"/>
  </si>
  <si>
    <t>購入実績の証拠書類（納品書等）から、内容を転記してください。</t>
    <rPh sb="0" eb="2">
      <t>コウニュウ</t>
    </rPh>
    <rPh sb="2" eb="4">
      <t>ジッセキ</t>
    </rPh>
    <rPh sb="5" eb="7">
      <t>ショウコ</t>
    </rPh>
    <rPh sb="7" eb="9">
      <t>ショルイ</t>
    </rPh>
    <rPh sb="10" eb="13">
      <t>ノウヒンショ</t>
    </rPh>
    <rPh sb="13" eb="14">
      <t>トウ</t>
    </rPh>
    <rPh sb="18" eb="20">
      <t>ナイヨウ</t>
    </rPh>
    <rPh sb="21" eb="23">
      <t>テンキ</t>
    </rPh>
    <phoneticPr fontId="6"/>
  </si>
  <si>
    <t>対象月</t>
    <rPh sb="0" eb="2">
      <t>タイショウ</t>
    </rPh>
    <rPh sb="2" eb="3">
      <t>ツキ</t>
    </rPh>
    <phoneticPr fontId="6"/>
  </si>
  <si>
    <t>購入日</t>
    <rPh sb="0" eb="3">
      <t>コウニュウビ</t>
    </rPh>
    <phoneticPr fontId="6"/>
  </si>
  <si>
    <t>燃料別</t>
    <rPh sb="0" eb="2">
      <t>ネンリョウ</t>
    </rPh>
    <rPh sb="2" eb="3">
      <t>ベツ</t>
    </rPh>
    <phoneticPr fontId="6"/>
  </si>
  <si>
    <t>購入数量</t>
    <rPh sb="0" eb="2">
      <t>コウニュウ</t>
    </rPh>
    <rPh sb="2" eb="4">
      <t>スウリョウ</t>
    </rPh>
    <phoneticPr fontId="6"/>
  </si>
  <si>
    <t>伝票No.</t>
    <rPh sb="0" eb="2">
      <t>デンピョウ</t>
    </rPh>
    <phoneticPr fontId="6"/>
  </si>
  <si>
    <t>農家1</t>
  </si>
  <si>
    <t>Ａ重油</t>
    <rPh sb="1" eb="3">
      <t>ジュウユ</t>
    </rPh>
    <phoneticPr fontId="6"/>
  </si>
  <si>
    <t>12月</t>
  </si>
  <si>
    <t>1月</t>
  </si>
  <si>
    <t>農家2</t>
  </si>
  <si>
    <t>2月</t>
  </si>
  <si>
    <t>3月</t>
  </si>
  <si>
    <t>4月</t>
  </si>
  <si>
    <t>5月</t>
  </si>
  <si>
    <t>6月</t>
  </si>
  <si>
    <t>対象月</t>
  </si>
  <si>
    <t>10月</t>
  </si>
  <si>
    <t>購入実績集計表</t>
  </si>
  <si>
    <t/>
  </si>
  <si>
    <t>氏名・伝票No.</t>
  </si>
  <si>
    <t>総計</t>
  </si>
  <si>
    <t>別紙様式第８号（第２１条関係）</t>
    <rPh sb="0" eb="2">
      <t>ベッシ</t>
    </rPh>
    <rPh sb="2" eb="4">
      <t>ヨウシキ</t>
    </rPh>
    <rPh sb="4" eb="5">
      <t>ダイ</t>
    </rPh>
    <rPh sb="6" eb="7">
      <t>ゴウ</t>
    </rPh>
    <rPh sb="8" eb="9">
      <t>ダイ</t>
    </rPh>
    <rPh sb="11" eb="12">
      <t>ジョウ</t>
    </rPh>
    <rPh sb="12" eb="14">
      <t>カンケイ</t>
    </rPh>
    <phoneticPr fontId="31"/>
  </si>
  <si>
    <t>第　　号</t>
    <rPh sb="0" eb="1">
      <t>ダイ</t>
    </rPh>
    <rPh sb="3" eb="4">
      <t>ゴウ</t>
    </rPh>
    <phoneticPr fontId="6"/>
  </si>
  <si>
    <t>山梨県水田畑作農業再生協議会会長　殿</t>
    <rPh sb="0" eb="14">
      <t>ヤマナシケンスイデンハタサクノウギョウサイセイキョウギカイ</t>
    </rPh>
    <rPh sb="14" eb="16">
      <t>カイチョウ</t>
    </rPh>
    <rPh sb="17" eb="18">
      <t>トノ</t>
    </rPh>
    <phoneticPr fontId="31"/>
  </si>
  <si>
    <t>（農業者組織）</t>
    <rPh sb="1" eb="4">
      <t>ノウギョウシャ</t>
    </rPh>
    <rPh sb="4" eb="6">
      <t>ソシキ</t>
    </rPh>
    <phoneticPr fontId="31"/>
  </si>
  <si>
    <t>月分</t>
    <rPh sb="0" eb="2">
      <t>ガツブン</t>
    </rPh>
    <phoneticPr fontId="31"/>
  </si>
  <si>
    <t>１　施設園芸用燃料購入実績</t>
    <rPh sb="2" eb="4">
      <t>シセツ</t>
    </rPh>
    <rPh sb="4" eb="6">
      <t>エンゲイ</t>
    </rPh>
    <rPh sb="6" eb="7">
      <t>ヨウ</t>
    </rPh>
    <rPh sb="7" eb="9">
      <t>ネンリョウ</t>
    </rPh>
    <rPh sb="9" eb="11">
      <t>コウニュウ</t>
    </rPh>
    <rPh sb="11" eb="13">
      <t>ジッセキ</t>
    </rPh>
    <phoneticPr fontId="31"/>
  </si>
  <si>
    <t>番号</t>
    <rPh sb="0" eb="2">
      <t>バンゴウ</t>
    </rPh>
    <phoneticPr fontId="31"/>
  </si>
  <si>
    <t>氏　　名</t>
    <rPh sb="0" eb="1">
      <t>シ</t>
    </rPh>
    <rPh sb="3" eb="4">
      <t>ナ</t>
    </rPh>
    <phoneticPr fontId="31"/>
  </si>
  <si>
    <t>購入実績（L,kg,㎥）</t>
    <rPh sb="0" eb="2">
      <t>コウニュウ</t>
    </rPh>
    <rPh sb="2" eb="4">
      <t>ジッセキ</t>
    </rPh>
    <phoneticPr fontId="6"/>
  </si>
  <si>
    <t>備考</t>
    <rPh sb="0" eb="2">
      <t>ビコウ</t>
    </rPh>
    <phoneticPr fontId="6"/>
  </si>
  <si>
    <t>（注）番号は、参加構成員ごとの整理番号とし、積立契約申込み時の番号と一致させること。</t>
    <rPh sb="1" eb="2">
      <t>チュウ</t>
    </rPh>
    <rPh sb="3" eb="5">
      <t>バンゴウ</t>
    </rPh>
    <rPh sb="7" eb="9">
      <t>サンカ</t>
    </rPh>
    <rPh sb="9" eb="12">
      <t>コウセイイン</t>
    </rPh>
    <rPh sb="15" eb="17">
      <t>セイリ</t>
    </rPh>
    <rPh sb="17" eb="19">
      <t>バンゴウ</t>
    </rPh>
    <rPh sb="22" eb="24">
      <t>ツミタテ</t>
    </rPh>
    <rPh sb="24" eb="26">
      <t>ケイヤク</t>
    </rPh>
    <rPh sb="26" eb="28">
      <t>モウシコ</t>
    </rPh>
    <rPh sb="29" eb="30">
      <t>トキ</t>
    </rPh>
    <rPh sb="31" eb="33">
      <t>バンゴウ</t>
    </rPh>
    <phoneticPr fontId="31"/>
  </si>
  <si>
    <t>２　補填金の振込口座（初回の報告又は変更があった場合に記載）</t>
    <rPh sb="2" eb="5">
      <t>ホテンキン</t>
    </rPh>
    <rPh sb="6" eb="8">
      <t>フリコミ</t>
    </rPh>
    <rPh sb="8" eb="10">
      <t>コウザ</t>
    </rPh>
    <rPh sb="11" eb="13">
      <t>ショカイ</t>
    </rPh>
    <rPh sb="14" eb="16">
      <t>ホウコク</t>
    </rPh>
    <rPh sb="16" eb="17">
      <t>マタ</t>
    </rPh>
    <rPh sb="18" eb="20">
      <t>ヘンコウ</t>
    </rPh>
    <rPh sb="24" eb="26">
      <t>バアイ</t>
    </rPh>
    <rPh sb="27" eb="29">
      <t>キサイ</t>
    </rPh>
    <phoneticPr fontId="31"/>
  </si>
  <si>
    <t>　　（ フ リ ガ ナ ）</t>
    <phoneticPr fontId="31"/>
  </si>
  <si>
    <t>　（      ）</t>
    <phoneticPr fontId="31"/>
  </si>
  <si>
    <t>金融機関・支店名</t>
    <rPh sb="0" eb="2">
      <t>キンユウ</t>
    </rPh>
    <rPh sb="2" eb="4">
      <t>キカン</t>
    </rPh>
    <rPh sb="5" eb="8">
      <t>シテンメイ</t>
    </rPh>
    <phoneticPr fontId="31"/>
  </si>
  <si>
    <t>預金種別</t>
    <rPh sb="0" eb="2">
      <t>ヨキン</t>
    </rPh>
    <rPh sb="2" eb="4">
      <t>シュベツ</t>
    </rPh>
    <phoneticPr fontId="31"/>
  </si>
  <si>
    <t>口座番号</t>
    <rPh sb="0" eb="2">
      <t>コウザ</t>
    </rPh>
    <rPh sb="2" eb="4">
      <t>バンゴウ</t>
    </rPh>
    <phoneticPr fontId="31"/>
  </si>
  <si>
    <t>預金の名義</t>
    <rPh sb="0" eb="2">
      <t>ヨキン</t>
    </rPh>
    <rPh sb="3" eb="5">
      <t>メイギ</t>
    </rPh>
    <phoneticPr fontId="31"/>
  </si>
  <si>
    <t>（添付書類）</t>
    <rPh sb="1" eb="3">
      <t>テンプ</t>
    </rPh>
    <rPh sb="3" eb="5">
      <t>ショルイ</t>
    </rPh>
    <phoneticPr fontId="31"/>
  </si>
  <si>
    <t>当該月の燃料購入実績の証拠書類（領収書、納品伝票等）の写し</t>
    <rPh sb="0" eb="2">
      <t>トウガイ</t>
    </rPh>
    <rPh sb="2" eb="3">
      <t>ツキ</t>
    </rPh>
    <rPh sb="4" eb="6">
      <t>ネンリョウ</t>
    </rPh>
    <rPh sb="6" eb="8">
      <t>コウニュウ</t>
    </rPh>
    <rPh sb="8" eb="10">
      <t>ジッセキ</t>
    </rPh>
    <rPh sb="11" eb="13">
      <t>ショウコ</t>
    </rPh>
    <rPh sb="13" eb="15">
      <t>ショルイ</t>
    </rPh>
    <rPh sb="16" eb="19">
      <t>リョウシュウショ</t>
    </rPh>
    <rPh sb="20" eb="22">
      <t>ノウヒン</t>
    </rPh>
    <rPh sb="22" eb="24">
      <t>デンピョウ</t>
    </rPh>
    <rPh sb="24" eb="25">
      <t>トウ</t>
    </rPh>
    <rPh sb="27" eb="28">
      <t>ウツ</t>
    </rPh>
    <phoneticPr fontId="31"/>
  </si>
  <si>
    <t>※消さないでください。</t>
    <rPh sb="1" eb="2">
      <t>ケ</t>
    </rPh>
    <phoneticPr fontId="31"/>
  </si>
  <si>
    <t>月</t>
    <rPh sb="0" eb="1">
      <t>ツキ</t>
    </rPh>
    <phoneticPr fontId="31"/>
  </si>
  <si>
    <t>参照列</t>
    <rPh sb="0" eb="2">
      <t>サンショウ</t>
    </rPh>
    <rPh sb="2" eb="3">
      <t>レツ</t>
    </rPh>
    <phoneticPr fontId="31"/>
  </si>
  <si>
    <t>協議会</t>
    <rPh sb="0" eb="3">
      <t>キョウギカイ</t>
    </rPh>
    <phoneticPr fontId="6"/>
  </si>
  <si>
    <t>団体No</t>
    <rPh sb="0" eb="2">
      <t>ダンタイ</t>
    </rPh>
    <phoneticPr fontId="6"/>
  </si>
  <si>
    <t>支援対象者名</t>
    <rPh sb="0" eb="5">
      <t>シエンタイショウシャ</t>
    </rPh>
    <rPh sb="5" eb="6">
      <t>メイ</t>
    </rPh>
    <phoneticPr fontId="6"/>
  </si>
  <si>
    <t>代表者</t>
    <rPh sb="0" eb="3">
      <t>ダイヒョウシャ</t>
    </rPh>
    <phoneticPr fontId="6"/>
  </si>
  <si>
    <t>郵便番号</t>
    <rPh sb="0" eb="2">
      <t>ユウビン</t>
    </rPh>
    <rPh sb="2" eb="4">
      <t>バンゴウ</t>
    </rPh>
    <phoneticPr fontId="6"/>
  </si>
  <si>
    <t>住所</t>
    <rPh sb="0" eb="2">
      <t>ジュウショ</t>
    </rPh>
    <phoneticPr fontId="6"/>
  </si>
  <si>
    <t>推進計画期間</t>
    <rPh sb="0" eb="2">
      <t>スイシン</t>
    </rPh>
    <rPh sb="2" eb="4">
      <t>ケイカク</t>
    </rPh>
    <rPh sb="4" eb="6">
      <t>キカン</t>
    </rPh>
    <phoneticPr fontId="6"/>
  </si>
  <si>
    <t>対象期間</t>
    <rPh sb="0" eb="2">
      <t>タイショウ</t>
    </rPh>
    <rPh sb="2" eb="4">
      <t>キカン</t>
    </rPh>
    <phoneticPr fontId="6"/>
  </si>
  <si>
    <t>農家No</t>
    <rPh sb="0" eb="2">
      <t>ノウカ</t>
    </rPh>
    <phoneticPr fontId="6"/>
  </si>
  <si>
    <t>追加</t>
    <rPh sb="0" eb="2">
      <t>ツイカ</t>
    </rPh>
    <phoneticPr fontId="6"/>
  </si>
  <si>
    <t>氏名</t>
    <rPh sb="0" eb="2">
      <t>シメイ</t>
    </rPh>
    <phoneticPr fontId="6"/>
  </si>
  <si>
    <t>コース</t>
    <phoneticPr fontId="6"/>
  </si>
  <si>
    <t>燃料別</t>
    <rPh sb="0" eb="2">
      <t>ネンリョウ</t>
    </rPh>
    <rPh sb="2" eb="3">
      <t>ベツ</t>
    </rPh>
    <phoneticPr fontId="6"/>
  </si>
  <si>
    <t>購入予定数量</t>
    <rPh sb="0" eb="2">
      <t>コウニュウ</t>
    </rPh>
    <rPh sb="2" eb="4">
      <t>ヨテイ</t>
    </rPh>
    <rPh sb="4" eb="6">
      <t>スウリョウ</t>
    </rPh>
    <phoneticPr fontId="6"/>
  </si>
  <si>
    <t>積立必要額</t>
    <rPh sb="0" eb="2">
      <t>ツミタテ</t>
    </rPh>
    <rPh sb="2" eb="4">
      <t>ヒツヨウ</t>
    </rPh>
    <rPh sb="4" eb="5">
      <t>ガク</t>
    </rPh>
    <phoneticPr fontId="6"/>
  </si>
  <si>
    <t>納付日</t>
    <rPh sb="0" eb="3">
      <t>ノウフビ</t>
    </rPh>
    <phoneticPr fontId="6"/>
  </si>
  <si>
    <t>第1回納付</t>
    <rPh sb="0" eb="1">
      <t>ダイ</t>
    </rPh>
    <rPh sb="2" eb="3">
      <t>カイ</t>
    </rPh>
    <rPh sb="3" eb="5">
      <t>ノウフ</t>
    </rPh>
    <phoneticPr fontId="6"/>
  </si>
  <si>
    <t>第2回納付</t>
    <rPh sb="0" eb="1">
      <t>ダイ</t>
    </rPh>
    <rPh sb="2" eb="3">
      <t>カイ</t>
    </rPh>
    <rPh sb="3" eb="5">
      <t>ノウフ</t>
    </rPh>
    <phoneticPr fontId="6"/>
  </si>
  <si>
    <t>納付日2</t>
    <rPh sb="0" eb="4">
      <t>ノウフビ2</t>
    </rPh>
    <phoneticPr fontId="6"/>
  </si>
  <si>
    <t>納付額合計</t>
    <rPh sb="0" eb="3">
      <t>ノウフガク</t>
    </rPh>
    <rPh sb="3" eb="5">
      <t>ゴウケイ</t>
    </rPh>
    <phoneticPr fontId="6"/>
  </si>
  <si>
    <t>補助金見込</t>
    <rPh sb="0" eb="3">
      <t>ホジョキン</t>
    </rPh>
    <rPh sb="3" eb="5">
      <t>ミコ</t>
    </rPh>
    <phoneticPr fontId="6"/>
  </si>
  <si>
    <t>現在</t>
    <rPh sb="0" eb="2">
      <t>ゲンザイ</t>
    </rPh>
    <phoneticPr fontId="6"/>
  </si>
  <si>
    <t>目標</t>
    <rPh sb="0" eb="2">
      <t>モクヒョウ</t>
    </rPh>
    <phoneticPr fontId="6"/>
  </si>
  <si>
    <t>A重油</t>
    <rPh sb="1" eb="3">
      <t>ジュウユ</t>
    </rPh>
    <phoneticPr fontId="6"/>
  </si>
  <si>
    <t>灯油</t>
    <rPh sb="0" eb="2">
      <t>トウユ</t>
    </rPh>
    <phoneticPr fontId="6"/>
  </si>
  <si>
    <t>LP</t>
    <phoneticPr fontId="6"/>
  </si>
  <si>
    <t>LNG</t>
    <phoneticPr fontId="6"/>
  </si>
  <si>
    <t>現在2</t>
    <rPh sb="0" eb="3">
      <t>ゲンザイ2</t>
    </rPh>
    <phoneticPr fontId="6"/>
  </si>
  <si>
    <t>A重油換算</t>
    <rPh sb="1" eb="3">
      <t>ジュウユ</t>
    </rPh>
    <rPh sb="3" eb="5">
      <t>カンサン</t>
    </rPh>
    <phoneticPr fontId="6"/>
  </si>
  <si>
    <t>目標2</t>
    <rPh sb="0" eb="3">
      <t>モクヒョウ2</t>
    </rPh>
    <phoneticPr fontId="6"/>
  </si>
  <si>
    <t>A重油換算2</t>
    <rPh sb="0" eb="6">
      <t>ジュウユ2</t>
    </rPh>
    <phoneticPr fontId="6"/>
  </si>
  <si>
    <t>品目</t>
    <rPh sb="0" eb="2">
      <t>ヒンモク</t>
    </rPh>
    <phoneticPr fontId="6"/>
  </si>
  <si>
    <t>現在(kg)</t>
    <rPh sb="0" eb="2">
      <t>ゲンザイ</t>
    </rPh>
    <phoneticPr fontId="6"/>
  </si>
  <si>
    <t>目標(kg)</t>
    <rPh sb="0" eb="2">
      <t>モクヒョウ</t>
    </rPh>
    <phoneticPr fontId="6"/>
  </si>
  <si>
    <t>温室面積</t>
    <rPh sb="0" eb="2">
      <t>オンシツ</t>
    </rPh>
    <rPh sb="2" eb="4">
      <t>メンセキ</t>
    </rPh>
    <phoneticPr fontId="6"/>
  </si>
  <si>
    <t>ヒ済台数</t>
    <rPh sb="1" eb="2">
      <t>ズ</t>
    </rPh>
    <rPh sb="2" eb="3">
      <t>ダイ</t>
    </rPh>
    <rPh sb="3" eb="4">
      <t>スウ</t>
    </rPh>
    <phoneticPr fontId="6"/>
  </si>
  <si>
    <t>ヒ予定台数</t>
    <rPh sb="1" eb="3">
      <t>ヨテイ</t>
    </rPh>
    <rPh sb="3" eb="4">
      <t>ダイスウ2</t>
    </rPh>
    <phoneticPr fontId="6"/>
  </si>
  <si>
    <t>事業年度</t>
    <rPh sb="0" eb="2">
      <t>ジギョウ</t>
    </rPh>
    <rPh sb="2" eb="4">
      <t>ネンド</t>
    </rPh>
    <phoneticPr fontId="6"/>
  </si>
  <si>
    <t>温室面積2</t>
    <rPh sb="0" eb="2">
      <t>オンシツメンセキ2</t>
    </rPh>
    <phoneticPr fontId="6"/>
  </si>
  <si>
    <t>ガス済台数</t>
    <rPh sb="2" eb="3">
      <t>ズ</t>
    </rPh>
    <rPh sb="3" eb="5">
      <t>ダイスウ</t>
    </rPh>
    <phoneticPr fontId="6"/>
  </si>
  <si>
    <t>温室面積3</t>
    <rPh sb="0" eb="2">
      <t>オンシツメンセキ3</t>
    </rPh>
    <phoneticPr fontId="6"/>
  </si>
  <si>
    <t>ガス予定台数</t>
    <rPh sb="2" eb="4">
      <t>ヨテイ</t>
    </rPh>
    <rPh sb="4" eb="6">
      <t>ダイスウ</t>
    </rPh>
    <phoneticPr fontId="6"/>
  </si>
  <si>
    <t>事業年度2</t>
    <rPh sb="0" eb="2">
      <t>ジギョウネンド2</t>
    </rPh>
    <phoneticPr fontId="6"/>
  </si>
  <si>
    <t>温室面積4</t>
    <rPh sb="0" eb="2">
      <t>オンシツメンセキ4</t>
    </rPh>
    <phoneticPr fontId="6"/>
  </si>
  <si>
    <t>設備名</t>
    <rPh sb="0" eb="2">
      <t>セツビ</t>
    </rPh>
    <rPh sb="2" eb="3">
      <t>メイ</t>
    </rPh>
    <phoneticPr fontId="6"/>
  </si>
  <si>
    <t>台数</t>
    <rPh sb="0" eb="2">
      <t>ダイスウ</t>
    </rPh>
    <phoneticPr fontId="6"/>
  </si>
  <si>
    <t>事業年度3</t>
    <rPh sb="0" eb="2">
      <t>ジギョウネンド3</t>
    </rPh>
    <phoneticPr fontId="6"/>
  </si>
  <si>
    <t>温室面積5</t>
    <rPh sb="0" eb="5">
      <t>オンシツメンセキ5</t>
    </rPh>
    <phoneticPr fontId="6"/>
  </si>
  <si>
    <t>10月単価</t>
    <rPh sb="2" eb="3">
      <t>ガツ</t>
    </rPh>
    <rPh sb="3" eb="5">
      <t>タンカ</t>
    </rPh>
    <phoneticPr fontId="6"/>
  </si>
  <si>
    <t>10月補填対象</t>
    <rPh sb="2" eb="3">
      <t>ガツ</t>
    </rPh>
    <rPh sb="3" eb="5">
      <t>ホテン</t>
    </rPh>
    <rPh sb="5" eb="7">
      <t>タイショウ</t>
    </rPh>
    <phoneticPr fontId="6"/>
  </si>
  <si>
    <t>10月購入実績</t>
    <rPh sb="2" eb="3">
      <t>ガツ</t>
    </rPh>
    <rPh sb="3" eb="5">
      <t>コウニュウ</t>
    </rPh>
    <rPh sb="5" eb="7">
      <t>ジッセキ</t>
    </rPh>
    <phoneticPr fontId="6"/>
  </si>
  <si>
    <t>10月補填金額</t>
    <rPh sb="2" eb="3">
      <t>ガツ</t>
    </rPh>
    <rPh sb="3" eb="5">
      <t>ホテン</t>
    </rPh>
    <rPh sb="5" eb="6">
      <t>キン</t>
    </rPh>
    <rPh sb="6" eb="7">
      <t>ガク</t>
    </rPh>
    <phoneticPr fontId="6"/>
  </si>
  <si>
    <t>10月積立金</t>
    <rPh sb="2" eb="3">
      <t>ガツ</t>
    </rPh>
    <rPh sb="3" eb="5">
      <t>ツミタテ</t>
    </rPh>
    <rPh sb="5" eb="6">
      <t>キン</t>
    </rPh>
    <phoneticPr fontId="6"/>
  </si>
  <si>
    <t>10月補填金</t>
    <rPh sb="2" eb="3">
      <t>ガツ</t>
    </rPh>
    <rPh sb="3" eb="5">
      <t>ホテン</t>
    </rPh>
    <rPh sb="5" eb="6">
      <t>キン</t>
    </rPh>
    <phoneticPr fontId="6"/>
  </si>
  <si>
    <t>11月単価</t>
    <phoneticPr fontId="6"/>
  </si>
  <si>
    <t>11月購入実績</t>
    <phoneticPr fontId="6"/>
  </si>
  <si>
    <t>11月補填対象</t>
    <phoneticPr fontId="6"/>
  </si>
  <si>
    <t>11月補填金額</t>
    <phoneticPr fontId="6"/>
  </si>
  <si>
    <t>11月積立金</t>
    <phoneticPr fontId="6"/>
  </si>
  <si>
    <t>11月補填金</t>
    <phoneticPr fontId="6"/>
  </si>
  <si>
    <t>12月単価2</t>
    <phoneticPr fontId="6"/>
  </si>
  <si>
    <t>12月購入実績3</t>
    <phoneticPr fontId="6"/>
  </si>
  <si>
    <t>12月補填対象4</t>
    <phoneticPr fontId="6"/>
  </si>
  <si>
    <t>12月補填金額5</t>
    <phoneticPr fontId="6"/>
  </si>
  <si>
    <t>12月積立金6</t>
    <phoneticPr fontId="6"/>
  </si>
  <si>
    <t>12月補填金7</t>
    <phoneticPr fontId="6"/>
  </si>
  <si>
    <t>1月単価2</t>
    <phoneticPr fontId="6"/>
  </si>
  <si>
    <t>1月購入実績3</t>
    <phoneticPr fontId="6"/>
  </si>
  <si>
    <t>1月補填対象4</t>
    <phoneticPr fontId="6"/>
  </si>
  <si>
    <t>1月補填金額5</t>
    <phoneticPr fontId="6"/>
  </si>
  <si>
    <t>1月積立金6</t>
    <phoneticPr fontId="6"/>
  </si>
  <si>
    <t>1月補填金7</t>
    <phoneticPr fontId="6"/>
  </si>
  <si>
    <t>2月単価2</t>
    <phoneticPr fontId="6"/>
  </si>
  <si>
    <t>2月購入実績3</t>
    <phoneticPr fontId="6"/>
  </si>
  <si>
    <t>2月補填対象4</t>
    <phoneticPr fontId="6"/>
  </si>
  <si>
    <t>2月補填金額5</t>
    <phoneticPr fontId="6"/>
  </si>
  <si>
    <t>2月積立金6</t>
    <phoneticPr fontId="6"/>
  </si>
  <si>
    <t>2月補填金7</t>
    <phoneticPr fontId="6"/>
  </si>
  <si>
    <t>3月単価2</t>
    <phoneticPr fontId="6"/>
  </si>
  <si>
    <t>3月購入実績3</t>
    <phoneticPr fontId="6"/>
  </si>
  <si>
    <t>3月補填対象4</t>
    <phoneticPr fontId="6"/>
  </si>
  <si>
    <t>3月補填金額5</t>
    <phoneticPr fontId="6"/>
  </si>
  <si>
    <t>3月積立金6</t>
    <phoneticPr fontId="6"/>
  </si>
  <si>
    <t>3月補填金7</t>
    <phoneticPr fontId="6"/>
  </si>
  <si>
    <t>4月単価2</t>
    <phoneticPr fontId="6"/>
  </si>
  <si>
    <t>4月購入実績3</t>
    <phoneticPr fontId="6"/>
  </si>
  <si>
    <t>4月補填対象4</t>
    <phoneticPr fontId="6"/>
  </si>
  <si>
    <t>4月補填金額5</t>
    <phoneticPr fontId="6"/>
  </si>
  <si>
    <t>4月積立金6</t>
    <phoneticPr fontId="6"/>
  </si>
  <si>
    <t>4月補填金7</t>
    <phoneticPr fontId="6"/>
  </si>
  <si>
    <t>5月単価2</t>
    <phoneticPr fontId="6"/>
  </si>
  <si>
    <t>5月購入実績3</t>
    <phoneticPr fontId="6"/>
  </si>
  <si>
    <t>5月補填対象4</t>
    <phoneticPr fontId="6"/>
  </si>
  <si>
    <t>5月補填金額5</t>
    <phoneticPr fontId="6"/>
  </si>
  <si>
    <t>5月積立金6</t>
    <phoneticPr fontId="6"/>
  </si>
  <si>
    <t>5月補填金7</t>
    <phoneticPr fontId="6"/>
  </si>
  <si>
    <t>6月単価2</t>
    <phoneticPr fontId="6"/>
  </si>
  <si>
    <t>6月購入実績3</t>
    <phoneticPr fontId="6"/>
  </si>
  <si>
    <t>6月補填対象4</t>
    <phoneticPr fontId="6"/>
  </si>
  <si>
    <t>6月補填金額5</t>
    <phoneticPr fontId="6"/>
  </si>
  <si>
    <t>6月積立金6</t>
    <phoneticPr fontId="6"/>
  </si>
  <si>
    <t>6月補填金7</t>
    <phoneticPr fontId="6"/>
  </si>
  <si>
    <t>交付額うち積立金</t>
    <rPh sb="0" eb="3">
      <t>コウフガク</t>
    </rPh>
    <rPh sb="5" eb="7">
      <t>ツミタテ</t>
    </rPh>
    <rPh sb="7" eb="8">
      <t>キン</t>
    </rPh>
    <phoneticPr fontId="6"/>
  </si>
  <si>
    <t>農家積立金残額</t>
    <rPh sb="0" eb="2">
      <t>ノウカ</t>
    </rPh>
    <rPh sb="2" eb="4">
      <t>ツミタテ</t>
    </rPh>
    <rPh sb="4" eb="5">
      <t>キン</t>
    </rPh>
    <rPh sb="5" eb="7">
      <t>ザンガク</t>
    </rPh>
    <phoneticPr fontId="6"/>
  </si>
  <si>
    <t>積立金残額0発生月</t>
    <rPh sb="0" eb="3">
      <t>ツミタテキン</t>
    </rPh>
    <rPh sb="3" eb="5">
      <t>ザンガク</t>
    </rPh>
    <rPh sb="6" eb="8">
      <t>ハッセイ</t>
    </rPh>
    <rPh sb="8" eb="9">
      <t>ツキ</t>
    </rPh>
    <phoneticPr fontId="6"/>
  </si>
  <si>
    <t>年間燃料購入実績</t>
    <rPh sb="0" eb="2">
      <t>ネンカン</t>
    </rPh>
    <rPh sb="2" eb="4">
      <t>ネンリョウ</t>
    </rPh>
    <rPh sb="4" eb="6">
      <t>コウニュウ</t>
    </rPh>
    <rPh sb="6" eb="8">
      <t>ジッセキ</t>
    </rPh>
    <phoneticPr fontId="6"/>
  </si>
  <si>
    <t>省エネ特例の適用</t>
    <rPh sb="0" eb="1">
      <t>ショウ</t>
    </rPh>
    <rPh sb="3" eb="5">
      <t>トクレイ</t>
    </rPh>
    <rPh sb="6" eb="8">
      <t>テキヨウ</t>
    </rPh>
    <phoneticPr fontId="3"/>
  </si>
  <si>
    <t>省エネ特例</t>
    <rPh sb="0" eb="1">
      <t>ショウ</t>
    </rPh>
    <rPh sb="3" eb="5">
      <t>トクレイ</t>
    </rPh>
    <phoneticPr fontId="6"/>
  </si>
  <si>
    <t>住所2</t>
    <rPh sb="0" eb="3">
      <t>ジュウショ2</t>
    </rPh>
    <phoneticPr fontId="6"/>
  </si>
  <si>
    <t>省エネ特例</t>
    <rPh sb="0" eb="1">
      <t>ショウ</t>
    </rPh>
    <rPh sb="3" eb="5">
      <t>トクレイ</t>
    </rPh>
    <phoneticPr fontId="6"/>
  </si>
  <si>
    <t>R7積立金</t>
    <rPh sb="2" eb="4">
      <t>ツミタテ</t>
    </rPh>
    <rPh sb="4" eb="5">
      <t>キン</t>
    </rPh>
    <phoneticPr fontId="6"/>
  </si>
  <si>
    <t>R6末残高</t>
    <rPh sb="2" eb="3">
      <t>マツ</t>
    </rPh>
    <rPh sb="3" eb="5">
      <t>ザンダカ</t>
    </rPh>
    <phoneticPr fontId="6"/>
  </si>
  <si>
    <t>7年7月～9月使用量</t>
    <rPh sb="1" eb="2">
      <t>ネン</t>
    </rPh>
    <rPh sb="3" eb="4">
      <t>ガツ</t>
    </rPh>
    <rPh sb="6" eb="7">
      <t>ガツ</t>
    </rPh>
    <rPh sb="7" eb="10">
      <t>シヨウリョウ</t>
    </rPh>
    <phoneticPr fontId="6"/>
  </si>
  <si>
    <t xml:space="preserve">名称及び        
代表者の氏名  </t>
    <rPh sb="0" eb="2">
      <t>メイショウ</t>
    </rPh>
    <phoneticPr fontId="31"/>
  </si>
  <si>
    <t xml:space="preserve">住所   </t>
    <rPh sb="0" eb="2">
      <t>ジュウショ</t>
    </rPh>
    <phoneticPr fontId="31"/>
  </si>
  <si>
    <t>農家２</t>
    <rPh sb="0" eb="2">
      <t>ノウカ</t>
    </rPh>
    <phoneticPr fontId="6"/>
  </si>
  <si>
    <t>農家３</t>
    <rPh sb="0" eb="2">
      <t>ノウカ</t>
    </rPh>
    <phoneticPr fontId="6"/>
  </si>
  <si>
    <t>農家４</t>
    <rPh sb="0" eb="2">
      <t>ノウカ</t>
    </rPh>
    <phoneticPr fontId="6"/>
  </si>
  <si>
    <t>農家５</t>
    <rPh sb="0" eb="2">
      <t>ノウカ</t>
    </rPh>
    <phoneticPr fontId="6"/>
  </si>
  <si>
    <t>農家６</t>
    <rPh sb="0" eb="2">
      <t>ノウカ</t>
    </rPh>
    <phoneticPr fontId="6"/>
  </si>
  <si>
    <t>農家７</t>
    <rPh sb="0" eb="2">
      <t>ノウカ</t>
    </rPh>
    <phoneticPr fontId="6"/>
  </si>
  <si>
    <t>農家８</t>
    <rPh sb="0" eb="2">
      <t>ノウカ</t>
    </rPh>
    <phoneticPr fontId="6"/>
  </si>
  <si>
    <t>農家９</t>
    <rPh sb="0" eb="2">
      <t>ノウカ</t>
    </rPh>
    <phoneticPr fontId="6"/>
  </si>
  <si>
    <t>農家１０</t>
    <rPh sb="0" eb="2">
      <t>ノウカ</t>
    </rPh>
    <phoneticPr fontId="6"/>
  </si>
  <si>
    <t>農家１１</t>
    <rPh sb="0" eb="2">
      <t>ノウカ</t>
    </rPh>
    <phoneticPr fontId="6"/>
  </si>
  <si>
    <t>農家１２</t>
    <rPh sb="0" eb="2">
      <t>ノウカ</t>
    </rPh>
    <phoneticPr fontId="6"/>
  </si>
  <si>
    <t>農家１３</t>
    <rPh sb="0" eb="2">
      <t>ノウカ</t>
    </rPh>
    <phoneticPr fontId="6"/>
  </si>
  <si>
    <t>農家１４</t>
    <rPh sb="0" eb="2">
      <t>ノウカ</t>
    </rPh>
    <phoneticPr fontId="6"/>
  </si>
  <si>
    <t>農家１５</t>
    <rPh sb="0" eb="2">
      <t>ノウカ</t>
    </rPh>
    <phoneticPr fontId="6"/>
  </si>
  <si>
    <t>農家１６</t>
    <rPh sb="0" eb="2">
      <t>ノウカ</t>
    </rPh>
    <phoneticPr fontId="6"/>
  </si>
  <si>
    <t>農家１７</t>
    <rPh sb="0" eb="2">
      <t>ノウカ</t>
    </rPh>
    <phoneticPr fontId="6"/>
  </si>
  <si>
    <t>農家１８</t>
    <rPh sb="0" eb="2">
      <t>ノウカ</t>
    </rPh>
    <phoneticPr fontId="6"/>
  </si>
  <si>
    <t>農家１９</t>
    <rPh sb="0" eb="2">
      <t>ノウカ</t>
    </rPh>
    <phoneticPr fontId="6"/>
  </si>
  <si>
    <t>農家２０</t>
    <rPh sb="0" eb="2">
      <t>ノウカ</t>
    </rPh>
    <phoneticPr fontId="6"/>
  </si>
  <si>
    <t>農家２１</t>
    <rPh sb="0" eb="2">
      <t>ノウカ</t>
    </rPh>
    <phoneticPr fontId="6"/>
  </si>
  <si>
    <t>農家２２</t>
    <rPh sb="0" eb="2">
      <t>ノウカ</t>
    </rPh>
    <phoneticPr fontId="6"/>
  </si>
  <si>
    <t>農家２３</t>
    <rPh sb="0" eb="2">
      <t>ノウカ</t>
    </rPh>
    <phoneticPr fontId="6"/>
  </si>
  <si>
    <t>農家２４</t>
    <rPh sb="0" eb="2">
      <t>ノウカ</t>
    </rPh>
    <phoneticPr fontId="6"/>
  </si>
  <si>
    <t>農家２５</t>
    <rPh sb="0" eb="2">
      <t>ノウカ</t>
    </rPh>
    <phoneticPr fontId="6"/>
  </si>
  <si>
    <t>農家２６</t>
    <rPh sb="0" eb="2">
      <t>ノウカ</t>
    </rPh>
    <phoneticPr fontId="6"/>
  </si>
  <si>
    <t>農家２７</t>
    <rPh sb="0" eb="2">
      <t>ノウカ</t>
    </rPh>
    <phoneticPr fontId="6"/>
  </si>
  <si>
    <t>農家２８</t>
    <rPh sb="0" eb="2">
      <t>ノウカ</t>
    </rPh>
    <phoneticPr fontId="6"/>
  </si>
  <si>
    <t>農家２９</t>
    <rPh sb="0" eb="2">
      <t>ノウカ</t>
    </rPh>
    <phoneticPr fontId="6"/>
  </si>
  <si>
    <t>農家３０</t>
    <rPh sb="0" eb="2">
      <t>ノウカ</t>
    </rPh>
    <phoneticPr fontId="6"/>
  </si>
  <si>
    <t>農家３１</t>
    <rPh sb="0" eb="2">
      <t>ノウカ</t>
    </rPh>
    <phoneticPr fontId="6"/>
  </si>
  <si>
    <t>農家３２</t>
    <rPh sb="0" eb="2">
      <t>ノウカ</t>
    </rPh>
    <phoneticPr fontId="6"/>
  </si>
  <si>
    <t>農家３３</t>
    <rPh sb="0" eb="2">
      <t>ノウカ</t>
    </rPh>
    <phoneticPr fontId="6"/>
  </si>
  <si>
    <t>農家３４</t>
    <rPh sb="0" eb="2">
      <t>ノウカ</t>
    </rPh>
    <phoneticPr fontId="6"/>
  </si>
  <si>
    <t>農家３５</t>
    <rPh sb="0" eb="2">
      <t>ノウカ</t>
    </rPh>
    <phoneticPr fontId="6"/>
  </si>
  <si>
    <t>農家３６</t>
    <rPh sb="0" eb="2">
      <t>ノウカ</t>
    </rPh>
    <phoneticPr fontId="6"/>
  </si>
  <si>
    <t>農家３７</t>
    <rPh sb="0" eb="2">
      <t>ノウカ</t>
    </rPh>
    <phoneticPr fontId="6"/>
  </si>
  <si>
    <t>農家３８</t>
    <rPh sb="0" eb="2">
      <t>ノウカ</t>
    </rPh>
    <phoneticPr fontId="6"/>
  </si>
  <si>
    <t>農家３９</t>
    <rPh sb="0" eb="2">
      <t>ノウカ</t>
    </rPh>
    <phoneticPr fontId="6"/>
  </si>
  <si>
    <t>農家４０</t>
    <rPh sb="0" eb="2">
      <t>ノウカ</t>
    </rPh>
    <phoneticPr fontId="6"/>
  </si>
  <si>
    <t>農家４１</t>
    <rPh sb="0" eb="2">
      <t>ノウカ</t>
    </rPh>
    <phoneticPr fontId="6"/>
  </si>
  <si>
    <t>農家１</t>
    <rPh sb="0" eb="2">
      <t>ノウカ</t>
    </rPh>
    <phoneticPr fontId="2"/>
  </si>
  <si>
    <t>甲府市○○</t>
    <rPh sb="0" eb="3">
      <t>コウフシ</t>
    </rPh>
    <phoneticPr fontId="2"/>
  </si>
  <si>
    <t>農家１</t>
  </si>
  <si>
    <t>山梨県水田畑作農業再生協議会</t>
    <rPh sb="0" eb="2">
      <t>ヤマナシ</t>
    </rPh>
    <rPh sb="2" eb="3">
      <t>ケン</t>
    </rPh>
    <rPh sb="3" eb="5">
      <t>スイデン</t>
    </rPh>
    <rPh sb="5" eb="7">
      <t>ハタサク</t>
    </rPh>
    <rPh sb="7" eb="9">
      <t>ノウギョウ</t>
    </rPh>
    <rPh sb="9" eb="11">
      <t>サイセイ</t>
    </rPh>
    <rPh sb="11" eb="14">
      <t>キョウギカイ</t>
    </rPh>
    <phoneticPr fontId="6"/>
  </si>
  <si>
    <t>団体A</t>
    <rPh sb="0" eb="2">
      <t>ダンタイ</t>
    </rPh>
    <phoneticPr fontId="6"/>
  </si>
  <si>
    <t>会長　○○　○○</t>
    <rPh sb="0" eb="2">
      <t>カイチョウ</t>
    </rPh>
    <phoneticPr fontId="6"/>
  </si>
  <si>
    <t>000-0000</t>
    <phoneticPr fontId="6"/>
  </si>
  <si>
    <t>甲府市○○</t>
    <rPh sb="0" eb="3">
      <t>コウフシ</t>
    </rPh>
    <phoneticPr fontId="6"/>
  </si>
  <si>
    <t>R6～R8</t>
    <phoneticPr fontId="6"/>
  </si>
  <si>
    <t>10月～翌６月</t>
    <rPh sb="2" eb="3">
      <t>ガツ</t>
    </rPh>
    <rPh sb="4" eb="5">
      <t>ヨク</t>
    </rPh>
    <rPh sb="6" eb="7">
      <t>ガツ</t>
    </rPh>
    <phoneticPr fontId="6"/>
  </si>
  <si>
    <t>ユリ</t>
    <phoneticPr fontId="6"/>
  </si>
  <si>
    <t>R8事業年度　施設園芸セーフティネット構築事業管理シート(補填金交付）</t>
    <rPh sb="2" eb="6">
      <t>ジギョウネンド</t>
    </rPh>
    <rPh sb="7" eb="9">
      <t>シセツ</t>
    </rPh>
    <rPh sb="9" eb="11">
      <t>エンゲイ</t>
    </rPh>
    <rPh sb="19" eb="23">
      <t>コウチクジギョウ</t>
    </rPh>
    <rPh sb="23" eb="25">
      <t>カンリ</t>
    </rPh>
    <rPh sb="29" eb="32">
      <t>ホテンキン</t>
    </rPh>
    <rPh sb="32" eb="34">
      <t>コウフ</t>
    </rPh>
    <phoneticPr fontId="6"/>
  </si>
  <si>
    <r>
      <t>・「追加等整理欄」は、7</t>
    </r>
    <r>
      <rPr>
        <sz val="11"/>
        <color theme="1"/>
        <rFont val="游ゴシック"/>
        <family val="3"/>
        <charset val="128"/>
      </rPr>
      <t>事業年度中に契約更新済みの支援対象者に、8事業年度新規に追加する農家がある場合「追加」と記載。</t>
    </r>
    <r>
      <rPr>
        <sz val="11"/>
        <color theme="1"/>
        <rFont val="游ゴシック"/>
        <family val="2"/>
        <scheme val="minor"/>
      </rPr>
      <t>その他解約等の整理に活用。</t>
    </r>
    <rPh sb="2" eb="4">
      <t>ツイカ</t>
    </rPh>
    <rPh sb="4" eb="5">
      <t>トウ</t>
    </rPh>
    <rPh sb="5" eb="7">
      <t>セイリ</t>
    </rPh>
    <rPh sb="7" eb="8">
      <t>ラン</t>
    </rPh>
    <rPh sb="12" eb="14">
      <t>ジギョウ</t>
    </rPh>
    <rPh sb="14" eb="16">
      <t>ネンド</t>
    </rPh>
    <rPh sb="16" eb="17">
      <t>チュウ</t>
    </rPh>
    <rPh sb="18" eb="20">
      <t>ケイヤク</t>
    </rPh>
    <rPh sb="20" eb="22">
      <t>コウシン</t>
    </rPh>
    <rPh sb="22" eb="23">
      <t>ズ</t>
    </rPh>
    <rPh sb="25" eb="27">
      <t>シエン</t>
    </rPh>
    <rPh sb="27" eb="30">
      <t>タイショウシャ</t>
    </rPh>
    <rPh sb="33" eb="35">
      <t>ジギョウ</t>
    </rPh>
    <rPh sb="35" eb="37">
      <t>ネンド</t>
    </rPh>
    <rPh sb="37" eb="39">
      <t>シンキ</t>
    </rPh>
    <rPh sb="40" eb="42">
      <t>ツイカ</t>
    </rPh>
    <rPh sb="44" eb="46">
      <t>ノウカ</t>
    </rPh>
    <rPh sb="49" eb="51">
      <t>バアイ</t>
    </rPh>
    <rPh sb="52" eb="54">
      <t>ツイカ</t>
    </rPh>
    <rPh sb="56" eb="58">
      <t>キサイ</t>
    </rPh>
    <phoneticPr fontId="18"/>
  </si>
  <si>
    <r>
      <rPr>
        <u/>
        <sz val="11"/>
        <color rgb="FFFF0000"/>
        <rFont val="ＭＳ Ｐゴシック"/>
        <family val="3"/>
        <charset val="128"/>
      </rPr>
      <t>・Ｒ6</t>
    </r>
    <r>
      <rPr>
        <u/>
        <sz val="11"/>
        <color theme="1"/>
        <rFont val="ＭＳ Ｐゴシック"/>
        <family val="3"/>
        <charset val="128"/>
      </rPr>
      <t>又は</t>
    </r>
    <r>
      <rPr>
        <u/>
        <sz val="11"/>
        <color rgb="FFFF0000"/>
        <rFont val="ＭＳ Ｐゴシック"/>
        <family val="3"/>
        <charset val="128"/>
      </rPr>
      <t>Ｒ7</t>
    </r>
    <r>
      <rPr>
        <u/>
        <sz val="11"/>
        <color theme="1"/>
        <rFont val="ＭＳ Ｐゴシック"/>
        <family val="3"/>
        <charset val="128"/>
      </rPr>
      <t>事業年度から参加した農家で離農以外の理由で解約等を行った場合にあっては</t>
    </r>
    <r>
      <rPr>
        <sz val="11"/>
        <color theme="1"/>
        <rFont val="ＭＳ Ｐゴシック"/>
        <family val="3"/>
        <charset val="128"/>
      </rPr>
      <t>、温室面積、燃料使用量及び生産量欄は、</t>
    </r>
    <r>
      <rPr>
        <u/>
        <sz val="11"/>
        <color theme="1"/>
        <rFont val="ＭＳ Ｐゴシック"/>
        <family val="3"/>
        <charset val="128"/>
      </rPr>
      <t>解約前の計数をそのまま残して</t>
    </r>
    <rPh sb="3" eb="4">
      <t>マタ</t>
    </rPh>
    <rPh sb="7" eb="11">
      <t>ジギョウネンド</t>
    </rPh>
    <rPh sb="13" eb="15">
      <t>サンカ</t>
    </rPh>
    <rPh sb="17" eb="19">
      <t>ノウカ</t>
    </rPh>
    <rPh sb="20" eb="22">
      <t>リノウ</t>
    </rPh>
    <rPh sb="22" eb="24">
      <t>イガイ</t>
    </rPh>
    <rPh sb="25" eb="27">
      <t>リユウ</t>
    </rPh>
    <rPh sb="28" eb="30">
      <t>カイヤク</t>
    </rPh>
    <rPh sb="30" eb="31">
      <t>トウ</t>
    </rPh>
    <rPh sb="32" eb="33">
      <t>オコナ</t>
    </rPh>
    <rPh sb="35" eb="37">
      <t>バアイ</t>
    </rPh>
    <rPh sb="43" eb="47">
      <t>オンシツメンセキ</t>
    </rPh>
    <rPh sb="48" eb="53">
      <t>ネンリョウシヨウリョウ</t>
    </rPh>
    <rPh sb="53" eb="54">
      <t>オヨ</t>
    </rPh>
    <rPh sb="55" eb="58">
      <t>セイサンリョウ</t>
    </rPh>
    <rPh sb="58" eb="59">
      <t>ラン</t>
    </rPh>
    <rPh sb="61" eb="64">
      <t>カイヤクマエ</t>
    </rPh>
    <rPh sb="65" eb="67">
      <t>ケイスウ</t>
    </rPh>
    <rPh sb="72" eb="73">
      <t>ノコ</t>
    </rPh>
    <phoneticPr fontId="18"/>
  </si>
  <si>
    <t>R8積立金額
（円）</t>
    <rPh sb="2" eb="4">
      <t>ツミタテ</t>
    </rPh>
    <rPh sb="4" eb="6">
      <t>キンガク</t>
    </rPh>
    <rPh sb="8" eb="9">
      <t>エン</t>
    </rPh>
    <phoneticPr fontId="6"/>
  </si>
  <si>
    <t>R7末残高
（円）
①</t>
    <rPh sb="2" eb="3">
      <t>マツ</t>
    </rPh>
    <rPh sb="3" eb="5">
      <t>ザンダカ</t>
    </rPh>
    <rPh sb="7" eb="8">
      <t>エン</t>
    </rPh>
    <phoneticPr fontId="6"/>
  </si>
  <si>
    <t>R8.10</t>
    <phoneticPr fontId="6"/>
  </si>
  <si>
    <t>８年７月～９月
使用量</t>
    <rPh sb="1" eb="2">
      <t>ネン</t>
    </rPh>
    <rPh sb="3" eb="7">
      <t>ガツカラ9ガツ</t>
    </rPh>
    <rPh sb="8" eb="11">
      <t>シヨウリョウ</t>
    </rPh>
    <phoneticPr fontId="6"/>
  </si>
  <si>
    <t>8年10月分</t>
    <rPh sb="1" eb="2">
      <t>ネン</t>
    </rPh>
    <rPh sb="4" eb="5">
      <t>ガツ</t>
    </rPh>
    <rPh sb="5" eb="6">
      <t>ブン</t>
    </rPh>
    <phoneticPr fontId="18"/>
  </si>
  <si>
    <t>8年11月分</t>
    <rPh sb="1" eb="2">
      <t>ネン</t>
    </rPh>
    <rPh sb="4" eb="5">
      <t>ガツ</t>
    </rPh>
    <rPh sb="5" eb="6">
      <t>ブン</t>
    </rPh>
    <phoneticPr fontId="18"/>
  </si>
  <si>
    <t>8年10月</t>
    <rPh sb="1" eb="2">
      <t>ネン</t>
    </rPh>
    <rPh sb="4" eb="5">
      <t>ガツ</t>
    </rPh>
    <phoneticPr fontId="18"/>
  </si>
  <si>
    <t>8年11月</t>
    <rPh sb="1" eb="2">
      <t>ネン</t>
    </rPh>
    <rPh sb="4" eb="5">
      <t>ガツ</t>
    </rPh>
    <phoneticPr fontId="18"/>
  </si>
  <si>
    <t>8年12月</t>
    <rPh sb="1" eb="2">
      <t>ネン</t>
    </rPh>
    <rPh sb="4" eb="5">
      <t>ガツ</t>
    </rPh>
    <phoneticPr fontId="18"/>
  </si>
  <si>
    <t>8年12月分</t>
    <rPh sb="1" eb="2">
      <t>ネン</t>
    </rPh>
    <rPh sb="4" eb="5">
      <t>ガツ</t>
    </rPh>
    <rPh sb="5" eb="6">
      <t>ブン</t>
    </rPh>
    <phoneticPr fontId="18"/>
  </si>
  <si>
    <t>9年1月</t>
    <rPh sb="1" eb="2">
      <t>ネン</t>
    </rPh>
    <rPh sb="3" eb="4">
      <t>ガツ</t>
    </rPh>
    <phoneticPr fontId="18"/>
  </si>
  <si>
    <t>9年1月分</t>
    <rPh sb="1" eb="2">
      <t>ネン</t>
    </rPh>
    <rPh sb="3" eb="4">
      <t>ガツ</t>
    </rPh>
    <rPh sb="4" eb="5">
      <t>ブン</t>
    </rPh>
    <phoneticPr fontId="18"/>
  </si>
  <si>
    <t>9年2月</t>
    <rPh sb="1" eb="2">
      <t>ネン</t>
    </rPh>
    <rPh sb="3" eb="4">
      <t>ガツ</t>
    </rPh>
    <phoneticPr fontId="18"/>
  </si>
  <si>
    <t>9年2月分</t>
    <rPh sb="1" eb="2">
      <t>ネン</t>
    </rPh>
    <rPh sb="3" eb="4">
      <t>ガツ</t>
    </rPh>
    <rPh sb="4" eb="5">
      <t>ブン</t>
    </rPh>
    <phoneticPr fontId="18"/>
  </si>
  <si>
    <t>9年3月</t>
    <rPh sb="1" eb="2">
      <t>ネン</t>
    </rPh>
    <rPh sb="3" eb="4">
      <t>ガツ</t>
    </rPh>
    <phoneticPr fontId="18"/>
  </si>
  <si>
    <t>9年3月分</t>
    <rPh sb="1" eb="2">
      <t>ネン</t>
    </rPh>
    <rPh sb="3" eb="4">
      <t>ガツ</t>
    </rPh>
    <rPh sb="4" eb="5">
      <t>ブン</t>
    </rPh>
    <phoneticPr fontId="18"/>
  </si>
  <si>
    <t>9年4月</t>
    <rPh sb="1" eb="2">
      <t>ネン</t>
    </rPh>
    <rPh sb="3" eb="4">
      <t>ガツ</t>
    </rPh>
    <phoneticPr fontId="18"/>
  </si>
  <si>
    <t>9年4月分</t>
    <rPh sb="1" eb="2">
      <t>ネン</t>
    </rPh>
    <rPh sb="3" eb="4">
      <t>ガツ</t>
    </rPh>
    <rPh sb="4" eb="5">
      <t>ブン</t>
    </rPh>
    <phoneticPr fontId="18"/>
  </si>
  <si>
    <t>9年5月</t>
    <rPh sb="1" eb="2">
      <t>ネン</t>
    </rPh>
    <rPh sb="3" eb="4">
      <t>ガツ</t>
    </rPh>
    <phoneticPr fontId="18"/>
  </si>
  <si>
    <t>9年5月分</t>
    <rPh sb="1" eb="2">
      <t>ネン</t>
    </rPh>
    <rPh sb="3" eb="4">
      <t>ガツ</t>
    </rPh>
    <rPh sb="4" eb="5">
      <t>ブン</t>
    </rPh>
    <phoneticPr fontId="18"/>
  </si>
  <si>
    <t>9年6月</t>
    <rPh sb="1" eb="2">
      <t>ネン</t>
    </rPh>
    <rPh sb="3" eb="4">
      <t>ガツ</t>
    </rPh>
    <phoneticPr fontId="18"/>
  </si>
  <si>
    <t>9年6月分</t>
    <rPh sb="1" eb="2">
      <t>ネン</t>
    </rPh>
    <rPh sb="3" eb="4">
      <t>ガツ</t>
    </rPh>
    <rPh sb="4" eb="5">
      <t>ブン</t>
    </rPh>
    <phoneticPr fontId="18"/>
  </si>
  <si>
    <t>令和８年○月○日</t>
    <rPh sb="0" eb="2">
      <t>レイワ</t>
    </rPh>
    <rPh sb="3" eb="4">
      <t>ネン</t>
    </rPh>
    <rPh sb="5" eb="6">
      <t>ガツ</t>
    </rPh>
    <rPh sb="7" eb="8">
      <t>ニチ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</si>
</sst>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Red]\(#,##0\)"/>
    <numFmt numFmtId="177" formatCode="0.00_ "/>
    <numFmt numFmtId="178" formatCode="#,##0_ "/>
    <numFmt numFmtId="179" formatCode="#,##0.00_);[Red]\(#,##0.00\)"/>
    <numFmt numFmtId="180" formatCode="#,##0.0_);[Red]\(#,##0.0\)"/>
    <numFmt numFmtId="181" formatCode="#,##0.0_&quot;&quot;円&quot;&quot;/L&quot;\ "/>
    <numFmt numFmtId="182" formatCode="#,##0.0_&quot;&quot;円&quot;&quot;/kg&quot;\ "/>
    <numFmt numFmtId="183" formatCode="#,##0.0_&quot;&quot;円&quot;&quot;/㎥&quot;\ "/>
    <numFmt numFmtId="184" formatCode="0.0_ "/>
    <numFmt numFmtId="185" formatCode="#,##0.00_ ;[Red]\-#,##0.00\ "/>
    <numFmt numFmtId="186" formatCode="&quot;伝票No.&quot;0"/>
  </numFmts>
  <fonts count="43">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14"/>
      <color theme="1"/>
      <name val="游ゴシック"/>
      <family val="3"/>
      <charset val="128"/>
      <scheme val="minor"/>
    </font>
    <font>
      <sz val="11"/>
      <color theme="1"/>
      <name val="游ゴシック"/>
      <family val="2"/>
      <scheme val="minor"/>
    </font>
    <font>
      <sz val="10"/>
      <color theme="1"/>
      <name val="游ゴシック"/>
      <family val="2"/>
      <scheme val="minor"/>
    </font>
    <font>
      <sz val="10"/>
      <color theme="1"/>
      <name val="游ゴシック"/>
      <family val="3"/>
      <charset val="128"/>
      <scheme val="minor"/>
    </font>
    <font>
      <b/>
      <sz val="22"/>
      <color theme="1"/>
      <name val="游ゴシック"/>
      <family val="3"/>
      <charset val="128"/>
      <scheme val="minor"/>
    </font>
    <font>
      <b/>
      <sz val="9"/>
      <color indexed="81"/>
      <name val="MS P ゴシック"/>
      <family val="3"/>
      <charset val="128"/>
    </font>
    <font>
      <sz val="9"/>
      <color theme="1"/>
      <name val="游ゴシック"/>
      <family val="2"/>
      <scheme val="minor"/>
    </font>
    <font>
      <sz val="11"/>
      <color rgb="FFFF0000"/>
      <name val="游ゴシック"/>
      <family val="2"/>
      <scheme val="minor"/>
    </font>
    <font>
      <sz val="11"/>
      <color rgb="FFC00000"/>
      <name val="游ゴシック"/>
      <family val="2"/>
      <scheme val="minor"/>
    </font>
    <font>
      <sz val="11"/>
      <color rgb="FFC00000"/>
      <name val="游ゴシック"/>
      <family val="3"/>
      <charset val="128"/>
      <scheme val="minor"/>
    </font>
    <font>
      <b/>
      <sz val="11"/>
      <color rgb="FFFF0000"/>
      <name val="游ゴシック"/>
      <family val="3"/>
      <charset val="128"/>
      <scheme val="minor"/>
    </font>
    <font>
      <sz val="6"/>
      <name val="ＭＳ Ｐゴシック"/>
      <family val="3"/>
      <charset val="128"/>
    </font>
    <font>
      <sz val="11"/>
      <color theme="1"/>
      <name val="游ゴシック"/>
      <family val="3"/>
      <charset val="128"/>
      <scheme val="minor"/>
    </font>
    <font>
      <sz val="11"/>
      <color rgb="FFFF0000"/>
      <name val="游ゴシック"/>
      <family val="3"/>
      <charset val="128"/>
      <scheme val="minor"/>
    </font>
    <font>
      <sz val="11"/>
      <color theme="1"/>
      <name val="ＭＳ Ｐゴシック"/>
      <family val="3"/>
      <charset val="128"/>
    </font>
    <font>
      <u/>
      <sz val="11"/>
      <color rgb="FFFF0000"/>
      <name val="ＭＳ Ｐゴシック"/>
      <family val="3"/>
      <charset val="128"/>
    </font>
    <font>
      <u/>
      <sz val="11"/>
      <color theme="1"/>
      <name val="ＭＳ Ｐゴシック"/>
      <family val="3"/>
      <charset val="128"/>
    </font>
    <font>
      <b/>
      <u/>
      <sz val="11"/>
      <color theme="1"/>
      <name val="ＭＳ Ｐゴシック"/>
      <family val="3"/>
      <charset val="128"/>
    </font>
    <font>
      <b/>
      <sz val="11"/>
      <color theme="1"/>
      <name val="游ゴシック"/>
      <family val="3"/>
      <charset val="128"/>
      <scheme val="minor"/>
    </font>
    <font>
      <sz val="11"/>
      <name val="游ゴシック"/>
      <family val="3"/>
      <charset val="128"/>
      <scheme val="minor"/>
    </font>
    <font>
      <sz val="8"/>
      <color theme="1"/>
      <name val="游ゴシック"/>
      <family val="3"/>
      <charset val="128"/>
      <scheme val="minor"/>
    </font>
    <font>
      <sz val="14"/>
      <color theme="1"/>
      <name val="游ゴシック"/>
      <family val="2"/>
      <scheme val="minor"/>
    </font>
    <font>
      <sz val="14"/>
      <color theme="1"/>
      <name val="游ゴシック"/>
      <family val="3"/>
      <charset val="128"/>
      <scheme val="minor"/>
    </font>
    <font>
      <sz val="8"/>
      <color theme="1"/>
      <name val="游ゴシック"/>
      <family val="2"/>
      <scheme val="minor"/>
    </font>
    <font>
      <sz val="6"/>
      <name val="游ゴシック"/>
      <family val="2"/>
      <charset val="128"/>
      <scheme val="minor"/>
    </font>
    <font>
      <b/>
      <sz val="22"/>
      <color rgb="FFC00000"/>
      <name val="游ゴシック"/>
      <family val="3"/>
      <charset val="128"/>
      <scheme val="minor"/>
    </font>
    <font>
      <sz val="11"/>
      <color theme="1"/>
      <name val="游ゴシック"/>
      <family val="3"/>
      <charset val="128"/>
    </font>
    <font>
      <sz val="12"/>
      <color theme="1"/>
      <name val="ＭＳ 明朝"/>
      <family val="1"/>
      <charset val="128"/>
    </font>
    <font>
      <sz val="11"/>
      <color theme="1"/>
      <name val="ＭＳ 明朝"/>
      <family val="1"/>
      <charset val="128"/>
    </font>
    <font>
      <sz val="15"/>
      <color theme="1"/>
      <name val="ＭＳ 明朝"/>
      <family val="1"/>
      <charset val="128"/>
    </font>
    <font>
      <sz val="10"/>
      <color theme="1"/>
      <name val="ＭＳ 明朝"/>
      <family val="1"/>
      <charset val="128"/>
    </font>
    <font>
      <sz val="8"/>
      <color theme="1"/>
      <name val="ＭＳ 明朝"/>
      <family val="1"/>
      <charset val="128"/>
    </font>
    <font>
      <sz val="11"/>
      <color rgb="FFCCFFFF"/>
      <name val="游ゴシック"/>
      <family val="2"/>
      <scheme val="minor"/>
    </font>
    <font>
      <sz val="11"/>
      <name val="游ゴシック"/>
      <family val="2"/>
      <charset val="128"/>
      <scheme val="minor"/>
    </font>
    <font>
      <sz val="14"/>
      <name val="游ゴシック"/>
      <family val="3"/>
      <charset val="128"/>
      <scheme val="minor"/>
    </font>
    <font>
      <sz val="11"/>
      <name val="游ゴシック"/>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CFFFF"/>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diagonalDown="1">
      <left style="medium">
        <color indexed="64"/>
      </left>
      <right style="medium">
        <color indexed="64"/>
      </right>
      <top/>
      <bottom/>
      <diagonal style="thin">
        <color indexed="64"/>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2">
    <xf numFmtId="0" fontId="0" fillId="0" borderId="0"/>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0" borderId="0"/>
    <xf numFmtId="9" fontId="8"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38" fontId="8"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384">
    <xf numFmtId="0" fontId="0" fillId="0" borderId="0" xfId="0"/>
    <xf numFmtId="0" fontId="0" fillId="0" borderId="0" xfId="0" applyAlignment="1">
      <alignment horizontal="center" vertical="center" shrinkToFit="1"/>
    </xf>
    <xf numFmtId="0" fontId="0" fillId="2" borderId="0" xfId="0" applyFill="1" applyAlignment="1">
      <alignment horizontal="center" vertical="center" shrinkToFit="1"/>
    </xf>
    <xf numFmtId="9" fontId="0" fillId="0" borderId="0" xfId="0" applyNumberFormat="1" applyAlignment="1">
      <alignment horizontal="center" vertical="center" shrinkToFit="1"/>
    </xf>
    <xf numFmtId="0" fontId="0" fillId="0" borderId="0" xfId="0" applyAlignment="1">
      <alignment vertical="center" shrinkToFit="1"/>
    </xf>
    <xf numFmtId="0" fontId="7" fillId="0" borderId="0" xfId="0" applyFont="1" applyAlignment="1">
      <alignment horizontal="center" vertical="center" shrinkToFit="1"/>
    </xf>
    <xf numFmtId="38" fontId="0" fillId="0" borderId="5" xfId="1" applyFont="1" applyFill="1" applyBorder="1" applyAlignment="1">
      <alignment horizontal="center" vertical="center" shrinkToFit="1"/>
    </xf>
    <xf numFmtId="38" fontId="0" fillId="2" borderId="10" xfId="1" applyFont="1" applyFill="1" applyBorder="1" applyAlignment="1">
      <alignment horizontal="center" vertical="center" shrinkToFit="1"/>
    </xf>
    <xf numFmtId="38" fontId="0" fillId="2" borderId="7" xfId="1" applyFont="1" applyFill="1" applyBorder="1" applyAlignment="1">
      <alignment horizontal="center" vertical="center" shrinkToFit="1"/>
    </xf>
    <xf numFmtId="38" fontId="0" fillId="0" borderId="0" xfId="0" applyNumberFormat="1" applyAlignment="1">
      <alignment horizontal="center" vertical="center" shrinkToFit="1"/>
    </xf>
    <xf numFmtId="0" fontId="11" fillId="0" borderId="0" xfId="0" applyFont="1" applyAlignment="1">
      <alignment horizontal="center" vertical="center" shrinkToFit="1"/>
    </xf>
    <xf numFmtId="56" fontId="0" fillId="0" borderId="1" xfId="1" applyNumberFormat="1" applyFont="1" applyFill="1" applyBorder="1" applyAlignment="1">
      <alignment horizontal="center" vertical="center" shrinkToFit="1"/>
    </xf>
    <xf numFmtId="0" fontId="0" fillId="0" borderId="1" xfId="1" applyNumberFormat="1" applyFont="1" applyFill="1" applyBorder="1" applyAlignment="1">
      <alignment horizontal="center" vertical="center" shrinkToFit="1"/>
    </xf>
    <xf numFmtId="0" fontId="15" fillId="0" borderId="0" xfId="0" applyFont="1" applyAlignment="1">
      <alignment horizontal="center" vertical="center" shrinkToFit="1"/>
    </xf>
    <xf numFmtId="9" fontId="16" fillId="0" borderId="0" xfId="2" applyFont="1" applyAlignment="1">
      <alignment horizontal="right" vertical="center" shrinkToFit="1"/>
    </xf>
    <xf numFmtId="0" fontId="16" fillId="0" borderId="0" xfId="0" applyFont="1" applyAlignment="1">
      <alignment horizontal="right" vertical="center" shrinkToFit="1"/>
    </xf>
    <xf numFmtId="0" fontId="0" fillId="3" borderId="9" xfId="0" applyFill="1" applyBorder="1" applyAlignment="1">
      <alignment horizontal="center" vertical="center" shrinkToFit="1"/>
    </xf>
    <xf numFmtId="0" fontId="0" fillId="3" borderId="18" xfId="0" applyFill="1" applyBorder="1" applyAlignment="1">
      <alignment horizontal="center" vertical="center" shrinkToFit="1"/>
    </xf>
    <xf numFmtId="0" fontId="0" fillId="3" borderId="8" xfId="0" applyFill="1" applyBorder="1" applyAlignment="1">
      <alignment horizontal="center" vertical="center" shrinkToFit="1"/>
    </xf>
    <xf numFmtId="0" fontId="0" fillId="3" borderId="20" xfId="0" applyFill="1" applyBorder="1" applyAlignment="1">
      <alignment horizontal="center" vertical="center" shrinkToFit="1"/>
    </xf>
    <xf numFmtId="0" fontId="0" fillId="3" borderId="21" xfId="0" applyFill="1" applyBorder="1" applyAlignment="1">
      <alignment horizontal="center" vertical="center" shrinkToFit="1"/>
    </xf>
    <xf numFmtId="9" fontId="0" fillId="3" borderId="20" xfId="2" applyFont="1" applyFill="1" applyBorder="1" applyAlignment="1">
      <alignment horizontal="center" vertical="center" shrinkToFit="1"/>
    </xf>
    <xf numFmtId="38" fontId="0" fillId="3" borderId="0" xfId="1" applyFont="1" applyFill="1" applyBorder="1" applyAlignment="1">
      <alignment horizontal="center" vertical="center" shrinkToFit="1"/>
    </xf>
    <xf numFmtId="38" fontId="0" fillId="3" borderId="21" xfId="1" applyFont="1" applyFill="1" applyBorder="1" applyAlignment="1">
      <alignment horizontal="center" vertical="center" shrinkToFit="1"/>
    </xf>
    <xf numFmtId="38" fontId="0" fillId="3" borderId="21" xfId="0" applyNumberFormat="1" applyFill="1" applyBorder="1" applyAlignment="1">
      <alignment horizontal="center" vertical="center" shrinkToFit="1"/>
    </xf>
    <xf numFmtId="9" fontId="0" fillId="3" borderId="10" xfId="0" applyNumberFormat="1" applyFill="1" applyBorder="1" applyAlignment="1">
      <alignment horizontal="center" vertical="center" shrinkToFit="1"/>
    </xf>
    <xf numFmtId="38" fontId="0" fillId="3" borderId="7" xfId="0" applyNumberFormat="1" applyFill="1" applyBorder="1" applyAlignment="1">
      <alignment horizontal="center" vertical="center" shrinkToFit="1"/>
    </xf>
    <xf numFmtId="0" fontId="0" fillId="3" borderId="7" xfId="0" applyFill="1" applyBorder="1" applyAlignment="1">
      <alignment horizontal="center" vertical="center" shrinkToFit="1"/>
    </xf>
    <xf numFmtId="0" fontId="0" fillId="3" borderId="11" xfId="0" applyFill="1" applyBorder="1" applyAlignment="1">
      <alignment horizontal="center" vertical="center" shrinkToFit="1"/>
    </xf>
    <xf numFmtId="0" fontId="0" fillId="4" borderId="9" xfId="0" applyFill="1" applyBorder="1" applyAlignment="1">
      <alignment horizontal="center" vertical="center" shrinkToFit="1"/>
    </xf>
    <xf numFmtId="0" fontId="0" fillId="4" borderId="18" xfId="0" applyFill="1" applyBorder="1" applyAlignment="1">
      <alignment horizontal="center" vertical="center" shrinkToFit="1"/>
    </xf>
    <xf numFmtId="0" fontId="0" fillId="4" borderId="8" xfId="0" applyFill="1" applyBorder="1" applyAlignment="1">
      <alignment horizontal="center" vertical="center" shrinkToFit="1"/>
    </xf>
    <xf numFmtId="0" fontId="0" fillId="4" borderId="20" xfId="0" applyFill="1" applyBorder="1" applyAlignment="1">
      <alignment horizontal="center" vertical="center" shrinkToFit="1"/>
    </xf>
    <xf numFmtId="0" fontId="0" fillId="4" borderId="21" xfId="0" applyFill="1" applyBorder="1" applyAlignment="1">
      <alignment horizontal="center" vertical="center" shrinkToFit="1"/>
    </xf>
    <xf numFmtId="9" fontId="0" fillId="4" borderId="20" xfId="2" applyFont="1" applyFill="1" applyBorder="1" applyAlignment="1">
      <alignment horizontal="center" vertical="center" shrinkToFit="1"/>
    </xf>
    <xf numFmtId="38" fontId="0" fillId="4" borderId="0" xfId="1" applyFont="1" applyFill="1" applyBorder="1" applyAlignment="1">
      <alignment horizontal="center" vertical="center" shrinkToFit="1"/>
    </xf>
    <xf numFmtId="38" fontId="0" fillId="4" borderId="21" xfId="1" applyFont="1" applyFill="1" applyBorder="1" applyAlignment="1">
      <alignment horizontal="center" vertical="center" shrinkToFit="1"/>
    </xf>
    <xf numFmtId="38" fontId="0" fillId="4" borderId="21" xfId="0" applyNumberFormat="1" applyFill="1" applyBorder="1" applyAlignment="1">
      <alignment horizontal="center" vertical="center" shrinkToFit="1"/>
    </xf>
    <xf numFmtId="9" fontId="0" fillId="4" borderId="10" xfId="0" applyNumberFormat="1" applyFill="1" applyBorder="1" applyAlignment="1">
      <alignment horizontal="center" vertical="center" shrinkToFit="1"/>
    </xf>
    <xf numFmtId="38" fontId="0" fillId="4" borderId="7" xfId="0" applyNumberFormat="1" applyFill="1" applyBorder="1" applyAlignment="1">
      <alignment horizontal="center" vertical="center" shrinkToFit="1"/>
    </xf>
    <xf numFmtId="0" fontId="0" fillId="4" borderId="7" xfId="0" applyFill="1" applyBorder="1" applyAlignment="1">
      <alignment horizontal="center" vertical="center" shrinkToFit="1"/>
    </xf>
    <xf numFmtId="0" fontId="0" fillId="4" borderId="11"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20"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8"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20" xfId="0" applyFill="1" applyBorder="1" applyAlignment="1">
      <alignment horizontal="center" vertical="center" shrinkToFit="1"/>
    </xf>
    <xf numFmtId="0" fontId="0" fillId="5" borderId="0" xfId="0" applyFill="1" applyAlignment="1">
      <alignment horizontal="center" vertical="center" shrinkToFit="1"/>
    </xf>
    <xf numFmtId="38" fontId="0" fillId="5" borderId="10" xfId="1" applyFont="1" applyFill="1" applyBorder="1" applyAlignment="1">
      <alignment horizontal="center" vertical="center" shrinkToFit="1"/>
    </xf>
    <xf numFmtId="38" fontId="0" fillId="5" borderId="7" xfId="1" applyFont="1" applyFill="1" applyBorder="1" applyAlignment="1">
      <alignment horizontal="center" vertical="center" shrinkToFit="1"/>
    </xf>
    <xf numFmtId="178" fontId="19" fillId="3" borderId="1" xfId="1" applyNumberFormat="1" applyFont="1" applyFill="1" applyBorder="1" applyAlignment="1">
      <alignment vertical="center" shrinkToFit="1"/>
    </xf>
    <xf numFmtId="178" fontId="19" fillId="3" borderId="1" xfId="1" applyNumberFormat="1" applyFont="1" applyFill="1" applyBorder="1" applyAlignment="1">
      <alignment vertical="center"/>
    </xf>
    <xf numFmtId="0" fontId="0" fillId="0" borderId="0" xfId="0" applyAlignment="1">
      <alignment vertical="center"/>
    </xf>
    <xf numFmtId="0" fontId="21" fillId="0" borderId="0" xfId="0" applyFont="1" applyAlignment="1">
      <alignment vertical="center"/>
    </xf>
    <xf numFmtId="0" fontId="25" fillId="0" borderId="0" xfId="0" applyFont="1" applyAlignment="1">
      <alignment vertical="center"/>
    </xf>
    <xf numFmtId="0" fontId="20" fillId="0" borderId="0" xfId="0" applyFont="1" applyAlignment="1">
      <alignment vertical="center"/>
    </xf>
    <xf numFmtId="9" fontId="19" fillId="0" borderId="0" xfId="0" applyNumberFormat="1" applyFont="1" applyAlignment="1">
      <alignment horizontal="center" vertical="center" shrinkToFit="1"/>
    </xf>
    <xf numFmtId="0" fontId="25" fillId="0" borderId="0" xfId="0" applyFont="1" applyAlignment="1">
      <alignment horizontal="center" vertical="center" shrinkToFit="1"/>
    </xf>
    <xf numFmtId="0" fontId="28" fillId="4" borderId="18" xfId="0" applyFont="1" applyFill="1" applyBorder="1" applyAlignment="1">
      <alignment horizontal="center" vertical="center"/>
    </xf>
    <xf numFmtId="0" fontId="28" fillId="2" borderId="18" xfId="0" applyFont="1" applyFill="1" applyBorder="1" applyAlignment="1">
      <alignment horizontal="left" vertical="center"/>
    </xf>
    <xf numFmtId="0" fontId="28" fillId="5" borderId="18" xfId="0" applyFont="1" applyFill="1" applyBorder="1" applyAlignment="1">
      <alignment horizontal="left" vertical="center"/>
    </xf>
    <xf numFmtId="0" fontId="30" fillId="6" borderId="24" xfId="0" applyFont="1" applyFill="1" applyBorder="1" applyAlignment="1">
      <alignment horizontal="center" vertical="center" shrinkToFit="1"/>
    </xf>
    <xf numFmtId="0" fontId="27" fillId="6" borderId="15" xfId="0" applyFont="1" applyFill="1" applyBorder="1" applyAlignment="1">
      <alignment horizontal="center" vertical="center" shrinkToFit="1"/>
    </xf>
    <xf numFmtId="0" fontId="27" fillId="6" borderId="26" xfId="0" applyFont="1" applyFill="1" applyBorder="1" applyAlignment="1">
      <alignment horizontal="center" vertical="center" shrinkToFit="1"/>
    </xf>
    <xf numFmtId="177" fontId="0" fillId="0" borderId="0" xfId="0" applyNumberFormat="1" applyAlignment="1">
      <alignment horizontal="center" vertical="center" shrinkToFit="1"/>
    </xf>
    <xf numFmtId="181" fontId="8" fillId="6" borderId="28" xfId="3" applyNumberFormat="1" applyFill="1" applyBorder="1" applyAlignment="1">
      <alignment horizontal="center" vertical="center" shrinkToFit="1"/>
    </xf>
    <xf numFmtId="9" fontId="0" fillId="6" borderId="25" xfId="4" applyFont="1" applyFill="1" applyBorder="1" applyAlignment="1">
      <alignment vertical="center" shrinkToFit="1"/>
    </xf>
    <xf numFmtId="181" fontId="8" fillId="6" borderId="5" xfId="3" applyNumberFormat="1" applyFill="1" applyBorder="1" applyAlignment="1">
      <alignment horizontal="center" vertical="center" shrinkToFit="1"/>
    </xf>
    <xf numFmtId="9" fontId="0" fillId="6" borderId="12" xfId="4" applyFont="1" applyFill="1" applyBorder="1" applyAlignment="1">
      <alignment vertical="center" shrinkToFit="1"/>
    </xf>
    <xf numFmtId="182" fontId="8" fillId="6" borderId="5" xfId="3" applyNumberFormat="1" applyFill="1" applyBorder="1" applyAlignment="1">
      <alignment horizontal="center" vertical="center" shrinkToFit="1"/>
    </xf>
    <xf numFmtId="183" fontId="8" fillId="6" borderId="29" xfId="3" applyNumberFormat="1" applyFill="1" applyBorder="1" applyAlignment="1">
      <alignment horizontal="center" vertical="center" shrinkToFit="1"/>
    </xf>
    <xf numFmtId="9" fontId="0" fillId="6" borderId="27" xfId="4" applyFont="1" applyFill="1" applyBorder="1" applyAlignment="1">
      <alignment vertical="center" shrinkToFit="1"/>
    </xf>
    <xf numFmtId="0" fontId="30" fillId="6" borderId="33" xfId="0" applyFont="1" applyFill="1" applyBorder="1" applyAlignment="1">
      <alignment horizontal="center" vertical="center" shrinkToFit="1"/>
    </xf>
    <xf numFmtId="0" fontId="27" fillId="6" borderId="6" xfId="0" applyFont="1" applyFill="1" applyBorder="1" applyAlignment="1">
      <alignment horizontal="center" vertical="center" shrinkToFit="1"/>
    </xf>
    <xf numFmtId="0" fontId="27" fillId="6" borderId="34" xfId="0" applyFont="1" applyFill="1" applyBorder="1" applyAlignment="1">
      <alignment horizontal="center" vertical="center" shrinkToFit="1"/>
    </xf>
    <xf numFmtId="0" fontId="27" fillId="0" borderId="0" xfId="0" applyFont="1" applyAlignment="1">
      <alignment horizontal="center" vertical="center" shrinkToFit="1"/>
    </xf>
    <xf numFmtId="0" fontId="27" fillId="0" borderId="0" xfId="0" applyFont="1" applyAlignment="1">
      <alignment vertical="center" shrinkToFit="1"/>
    </xf>
    <xf numFmtId="49" fontId="26" fillId="0" borderId="0" xfId="0" applyNumberFormat="1" applyFont="1" applyAlignment="1">
      <alignment horizontal="center" vertical="center" shrinkToFit="1"/>
    </xf>
    <xf numFmtId="49" fontId="26" fillId="9" borderId="35" xfId="0" applyNumberFormat="1" applyFont="1" applyFill="1" applyBorder="1" applyAlignment="1">
      <alignment horizontal="center" vertical="center" shrinkToFit="1"/>
    </xf>
    <xf numFmtId="177" fontId="0" fillId="3" borderId="1" xfId="0" applyNumberFormat="1" applyFill="1" applyBorder="1" applyAlignment="1">
      <alignment horizontal="center" vertical="center" shrinkToFit="1"/>
    </xf>
    <xf numFmtId="0" fontId="0" fillId="3" borderId="1" xfId="0" applyFill="1" applyBorder="1" applyAlignment="1">
      <alignment horizontal="center" vertical="center" shrinkToFit="1"/>
    </xf>
    <xf numFmtId="38" fontId="0" fillId="2" borderId="7" xfId="0" applyNumberFormat="1" applyFill="1" applyBorder="1" applyAlignment="1">
      <alignment horizontal="center" vertical="center" shrinkToFit="1"/>
    </xf>
    <xf numFmtId="38" fontId="0" fillId="5" borderId="7" xfId="0" applyNumberFormat="1" applyFill="1" applyBorder="1" applyAlignment="1">
      <alignment horizontal="center" vertical="center" shrinkToFit="1"/>
    </xf>
    <xf numFmtId="0" fontId="14" fillId="2" borderId="21" xfId="0" applyFont="1" applyFill="1" applyBorder="1" applyAlignment="1">
      <alignment horizontal="center" vertical="center" shrinkToFit="1"/>
    </xf>
    <xf numFmtId="38" fontId="20" fillId="2" borderId="11" xfId="0" applyNumberFormat="1" applyFont="1" applyFill="1" applyBorder="1" applyAlignment="1">
      <alignment horizontal="center" vertical="center" shrinkToFit="1"/>
    </xf>
    <xf numFmtId="0" fontId="14" fillId="5" borderId="21" xfId="0" applyFont="1" applyFill="1" applyBorder="1" applyAlignment="1">
      <alignment horizontal="center" vertical="center" shrinkToFit="1"/>
    </xf>
    <xf numFmtId="38" fontId="20" fillId="5" borderId="11" xfId="0" applyNumberFormat="1" applyFont="1" applyFill="1"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left" vertical="center" shrinkToFit="1"/>
    </xf>
    <xf numFmtId="9" fontId="0" fillId="0" borderId="1" xfId="2" applyFont="1" applyFill="1" applyBorder="1" applyAlignment="1">
      <alignment horizontal="center" vertical="center" shrinkToFit="1"/>
    </xf>
    <xf numFmtId="38" fontId="0" fillId="0" borderId="1" xfId="1" applyFont="1" applyFill="1" applyBorder="1" applyAlignment="1">
      <alignment horizontal="center" vertical="center" shrinkToFit="1"/>
    </xf>
    <xf numFmtId="40" fontId="0" fillId="0" borderId="1" xfId="1" applyNumberFormat="1" applyFont="1" applyFill="1" applyBorder="1" applyAlignment="1">
      <alignment horizontal="center" vertical="center" shrinkToFit="1"/>
    </xf>
    <xf numFmtId="38" fontId="26" fillId="0" borderId="1" xfId="1" applyFont="1" applyFill="1" applyBorder="1" applyAlignment="1">
      <alignment horizontal="center" vertical="center" shrinkToFit="1"/>
    </xf>
    <xf numFmtId="185" fontId="0" fillId="0" borderId="11" xfId="1" applyNumberFormat="1" applyFont="1" applyFill="1" applyBorder="1" applyAlignment="1">
      <alignment horizontal="center" vertical="center" shrinkToFit="1"/>
    </xf>
    <xf numFmtId="179" fontId="0" fillId="0" borderId="3" xfId="0" applyNumberFormat="1" applyBorder="1" applyAlignment="1">
      <alignment vertical="center"/>
    </xf>
    <xf numFmtId="0" fontId="0" fillId="0" borderId="4" xfId="0" applyBorder="1" applyAlignment="1">
      <alignment horizontal="center" vertical="center" shrinkToFit="1"/>
    </xf>
    <xf numFmtId="38" fontId="17" fillId="0" borderId="1" xfId="1" applyFont="1" applyFill="1" applyBorder="1" applyAlignment="1">
      <alignment horizontal="center" vertical="center" shrinkToFit="1"/>
    </xf>
    <xf numFmtId="185" fontId="17" fillId="0" borderId="11" xfId="1" applyNumberFormat="1" applyFont="1" applyFill="1" applyBorder="1" applyAlignment="1">
      <alignment horizontal="center" vertical="center" shrinkToFit="1"/>
    </xf>
    <xf numFmtId="0" fontId="0" fillId="0" borderId="1" xfId="0" applyBorder="1" applyAlignment="1">
      <alignment horizontal="left" vertical="center" shrinkToFit="1"/>
    </xf>
    <xf numFmtId="38" fontId="0" fillId="0" borderId="21" xfId="1" applyFont="1" applyFill="1" applyBorder="1" applyAlignment="1">
      <alignment horizontal="center" vertical="center" shrinkToFit="1"/>
    </xf>
    <xf numFmtId="0" fontId="0" fillId="0" borderId="8" xfId="0" applyBorder="1" applyAlignment="1">
      <alignment horizontal="center" vertical="center" shrinkToFit="1"/>
    </xf>
    <xf numFmtId="0" fontId="0" fillId="10" borderId="8" xfId="0" applyFill="1" applyBorder="1" applyAlignment="1">
      <alignment horizontal="center" vertical="center" shrinkToFit="1"/>
    </xf>
    <xf numFmtId="0" fontId="0" fillId="10" borderId="2" xfId="0" applyFill="1" applyBorder="1" applyAlignment="1">
      <alignment horizontal="center" vertical="center" shrinkToFit="1"/>
    </xf>
    <xf numFmtId="38" fontId="0" fillId="2" borderId="15" xfId="1" applyFont="1" applyFill="1" applyBorder="1" applyAlignment="1">
      <alignment horizontal="center" vertical="center" shrinkToFit="1"/>
    </xf>
    <xf numFmtId="38" fontId="0" fillId="2" borderId="1" xfId="1" applyFont="1" applyFill="1" applyBorder="1" applyAlignment="1">
      <alignment horizontal="center" vertical="center" shrinkToFit="1"/>
    </xf>
    <xf numFmtId="38" fontId="0" fillId="2" borderId="12" xfId="1" applyFont="1" applyFill="1" applyBorder="1" applyAlignment="1">
      <alignment horizontal="center" vertical="center" shrinkToFit="1"/>
    </xf>
    <xf numFmtId="38" fontId="0" fillId="2" borderId="6" xfId="1" applyFont="1" applyFill="1" applyBorder="1" applyAlignment="1">
      <alignment horizontal="center" vertical="center" shrinkToFit="1"/>
    </xf>
    <xf numFmtId="38" fontId="26" fillId="2" borderId="1" xfId="1" applyFont="1" applyFill="1" applyBorder="1" applyAlignment="1">
      <alignment horizontal="center" vertical="center" shrinkToFit="1"/>
    </xf>
    <xf numFmtId="184" fontId="0" fillId="2" borderId="11" xfId="0" applyNumberFormat="1" applyFill="1" applyBorder="1" applyAlignment="1">
      <alignment vertical="center"/>
    </xf>
    <xf numFmtId="180" fontId="0" fillId="2" borderId="11" xfId="0" applyNumberFormat="1" applyFill="1" applyBorder="1" applyAlignment="1">
      <alignment vertical="center"/>
    </xf>
    <xf numFmtId="179" fontId="0" fillId="2" borderId="3" xfId="0" applyNumberFormat="1" applyFill="1" applyBorder="1" applyAlignment="1">
      <alignment vertical="center"/>
    </xf>
    <xf numFmtId="184" fontId="0" fillId="2" borderId="3" xfId="0" applyNumberFormat="1" applyFill="1" applyBorder="1" applyAlignment="1">
      <alignment vertical="center"/>
    </xf>
    <xf numFmtId="0" fontId="0" fillId="7" borderId="32" xfId="0" applyFill="1" applyBorder="1" applyAlignment="1">
      <alignment horizontal="center" vertical="center" shrinkToFit="1"/>
    </xf>
    <xf numFmtId="0" fontId="0" fillId="7" borderId="31" xfId="0" applyFill="1" applyBorder="1" applyAlignment="1">
      <alignment horizontal="center" vertical="center" shrinkToFit="1"/>
    </xf>
    <xf numFmtId="0" fontId="0" fillId="7" borderId="30" xfId="0" applyFill="1" applyBorder="1" applyAlignment="1">
      <alignment horizontal="center" vertical="center" shrinkToFit="1"/>
    </xf>
    <xf numFmtId="55" fontId="26" fillId="7" borderId="17" xfId="0" applyNumberFormat="1" applyFont="1" applyFill="1" applyBorder="1" applyAlignment="1">
      <alignment horizontal="center" vertical="center"/>
    </xf>
    <xf numFmtId="0" fontId="26" fillId="7" borderId="17" xfId="0" applyFont="1" applyFill="1" applyBorder="1" applyAlignment="1">
      <alignment horizontal="center" vertical="center"/>
    </xf>
    <xf numFmtId="0" fontId="26" fillId="7" borderId="6" xfId="0" applyFont="1" applyFill="1" applyBorder="1" applyAlignment="1">
      <alignment horizontal="center" vertical="center"/>
    </xf>
    <xf numFmtId="55" fontId="26" fillId="7" borderId="18" xfId="0" applyNumberFormat="1" applyFont="1" applyFill="1" applyBorder="1" applyAlignment="1">
      <alignment horizontal="center" vertical="center"/>
    </xf>
    <xf numFmtId="0" fontId="0" fillId="7" borderId="6" xfId="0" applyFill="1" applyBorder="1" applyAlignment="1">
      <alignment horizontal="center" vertical="center" shrinkToFit="1"/>
    </xf>
    <xf numFmtId="0" fontId="0" fillId="7" borderId="17" xfId="0" applyFill="1" applyBorder="1" applyAlignment="1">
      <alignment horizontal="center" vertical="center" shrinkToFit="1"/>
    </xf>
    <xf numFmtId="0" fontId="13" fillId="7" borderId="1" xfId="0" applyFont="1" applyFill="1" applyBorder="1" applyAlignment="1">
      <alignment horizontal="center" vertical="center" wrapText="1" shrinkToFit="1"/>
    </xf>
    <xf numFmtId="0" fontId="13" fillId="7" borderId="9" xfId="0" applyFont="1" applyFill="1" applyBorder="1" applyAlignment="1">
      <alignment horizontal="center" vertical="center" wrapText="1" shrinkToFit="1"/>
    </xf>
    <xf numFmtId="0" fontId="0" fillId="7" borderId="1" xfId="0" applyFill="1" applyBorder="1" applyAlignment="1">
      <alignment horizontal="center" vertical="center" wrapText="1" shrinkToFit="1"/>
    </xf>
    <xf numFmtId="0" fontId="0" fillId="7" borderId="1" xfId="0" applyFill="1" applyBorder="1" applyAlignment="1">
      <alignment horizontal="center" vertical="center" shrinkToFit="1"/>
    </xf>
    <xf numFmtId="0" fontId="0" fillId="0" borderId="0" xfId="0" applyAlignment="1">
      <alignment horizontal="center"/>
    </xf>
    <xf numFmtId="0" fontId="7" fillId="0" borderId="0" xfId="0" applyFont="1" applyAlignment="1">
      <alignment horizontal="left"/>
    </xf>
    <xf numFmtId="0" fontId="0" fillId="0" borderId="0" xfId="0" applyAlignment="1">
      <alignment horizontal="left"/>
    </xf>
    <xf numFmtId="0" fontId="0" fillId="0" borderId="0" xfId="0" applyAlignment="1">
      <alignment horizontal="right"/>
    </xf>
    <xf numFmtId="0" fontId="19" fillId="0" borderId="0" xfId="0" applyFont="1" applyAlignment="1">
      <alignment horizontal="center" vertical="center" shrinkToFit="1"/>
    </xf>
    <xf numFmtId="0" fontId="25" fillId="0" borderId="0" xfId="0" applyFont="1" applyAlignment="1">
      <alignment horizontal="left" shrinkToFit="1"/>
    </xf>
    <xf numFmtId="0" fontId="0" fillId="7" borderId="11" xfId="0" applyFill="1" applyBorder="1" applyAlignment="1">
      <alignment horizontal="center"/>
    </xf>
    <xf numFmtId="0" fontId="0" fillId="7" borderId="3" xfId="0" applyFill="1" applyBorder="1" applyAlignment="1">
      <alignment horizontal="center"/>
    </xf>
    <xf numFmtId="0" fontId="0" fillId="7" borderId="10" xfId="0" applyFill="1" applyBorder="1" applyAlignment="1">
      <alignment horizontal="center"/>
    </xf>
    <xf numFmtId="0" fontId="0" fillId="0" borderId="1" xfId="0" applyBorder="1" applyAlignment="1">
      <alignment horizontal="center"/>
    </xf>
    <xf numFmtId="3" fontId="0" fillId="0" borderId="5" xfId="0" applyNumberFormat="1" applyBorder="1" applyAlignment="1">
      <alignment horizontal="right"/>
    </xf>
    <xf numFmtId="3" fontId="0" fillId="0" borderId="9" xfId="0" applyNumberFormat="1" applyBorder="1" applyAlignment="1">
      <alignment horizontal="right"/>
    </xf>
    <xf numFmtId="0" fontId="0" fillId="0" borderId="6" xfId="0" applyBorder="1" applyAlignment="1">
      <alignment horizontal="center"/>
    </xf>
    <xf numFmtId="180" fontId="0" fillId="2" borderId="3" xfId="0" applyNumberFormat="1" applyFill="1" applyBorder="1" applyAlignment="1">
      <alignment vertical="center"/>
    </xf>
    <xf numFmtId="180" fontId="0" fillId="2" borderId="3" xfId="0" applyNumberFormat="1" applyFill="1" applyBorder="1" applyAlignment="1">
      <alignment horizontal="right" vertical="center"/>
    </xf>
    <xf numFmtId="180" fontId="0" fillId="2" borderId="1" xfId="1" applyNumberFormat="1" applyFont="1" applyFill="1" applyBorder="1" applyAlignment="1">
      <alignment horizontal="right" vertical="center" shrinkToFit="1"/>
    </xf>
    <xf numFmtId="56" fontId="0" fillId="0" borderId="1" xfId="0" applyNumberFormat="1" applyBorder="1" applyAlignment="1">
      <alignment horizontal="right"/>
    </xf>
    <xf numFmtId="56" fontId="0" fillId="0" borderId="2" xfId="0" applyNumberFormat="1" applyBorder="1" applyAlignment="1">
      <alignment horizontal="right"/>
    </xf>
    <xf numFmtId="0" fontId="34" fillId="0" borderId="0" xfId="8" applyFont="1" applyProtection="1">
      <alignment vertical="center"/>
      <protection locked="0"/>
    </xf>
    <xf numFmtId="0" fontId="35" fillId="0" borderId="0" xfId="8" applyFont="1" applyProtection="1">
      <alignment vertical="center"/>
      <protection locked="0"/>
    </xf>
    <xf numFmtId="0" fontId="34" fillId="0" borderId="0" xfId="8" applyFont="1" applyAlignment="1">
      <alignment horizontal="right"/>
    </xf>
    <xf numFmtId="0" fontId="34" fillId="0" borderId="0" xfId="8" applyFont="1">
      <alignment vertical="center"/>
    </xf>
    <xf numFmtId="0" fontId="35" fillId="0" borderId="37" xfId="8" applyFont="1" applyBorder="1" applyProtection="1">
      <alignment vertical="center"/>
      <protection locked="0"/>
    </xf>
    <xf numFmtId="0" fontId="34" fillId="0" borderId="7" xfId="8" applyFont="1" applyBorder="1" applyProtection="1">
      <alignment vertical="center"/>
      <protection locked="0"/>
    </xf>
    <xf numFmtId="0" fontId="34" fillId="0" borderId="5" xfId="8" applyFont="1" applyBorder="1" applyAlignment="1">
      <alignment horizontal="center" vertical="center"/>
    </xf>
    <xf numFmtId="0" fontId="35" fillId="0" borderId="1" xfId="8" applyFont="1" applyBorder="1">
      <alignment vertical="center"/>
    </xf>
    <xf numFmtId="0" fontId="38" fillId="0" borderId="0" xfId="8" applyFont="1" applyProtection="1">
      <alignment vertical="center"/>
      <protection locked="0"/>
    </xf>
    <xf numFmtId="0" fontId="35" fillId="0" borderId="22" xfId="8" applyFont="1" applyBorder="1" applyAlignment="1" applyProtection="1">
      <alignment horizontal="center" vertical="center"/>
      <protection locked="0"/>
    </xf>
    <xf numFmtId="0" fontId="35" fillId="0" borderId="31" xfId="8" applyFont="1" applyBorder="1" applyAlignment="1" applyProtection="1">
      <alignment horizontal="center" vertical="center"/>
      <protection locked="0"/>
    </xf>
    <xf numFmtId="0" fontId="35" fillId="0" borderId="23" xfId="8" applyFont="1" applyBorder="1" applyAlignment="1" applyProtection="1">
      <alignment horizontal="right" vertical="center"/>
      <protection locked="0"/>
    </xf>
    <xf numFmtId="0" fontId="35" fillId="0" borderId="30" xfId="8" applyFont="1" applyBorder="1" applyAlignment="1" applyProtection="1">
      <alignment horizontal="right" vertical="center"/>
      <protection locked="0"/>
    </xf>
    <xf numFmtId="0" fontId="35" fillId="0" borderId="36" xfId="8" applyFont="1" applyBorder="1" applyAlignment="1" applyProtection="1">
      <alignment horizontal="right" vertical="center"/>
      <protection locked="0"/>
    </xf>
    <xf numFmtId="0" fontId="35" fillId="0" borderId="38" xfId="8" applyFont="1" applyBorder="1" applyAlignment="1" applyProtection="1">
      <alignment horizontal="right" vertical="center"/>
      <protection locked="0"/>
    </xf>
    <xf numFmtId="176" fontId="19" fillId="7" borderId="3" xfId="1" applyNumberFormat="1" applyFont="1" applyFill="1" applyBorder="1">
      <alignment vertical="center"/>
    </xf>
    <xf numFmtId="0" fontId="37" fillId="0" borderId="0" xfId="8" applyFont="1" applyProtection="1">
      <alignment vertical="center"/>
      <protection locked="0"/>
    </xf>
    <xf numFmtId="0" fontId="34" fillId="0" borderId="1" xfId="8" applyFont="1" applyBorder="1" applyAlignment="1" applyProtection="1">
      <alignment horizontal="center" vertical="center"/>
      <protection locked="0"/>
    </xf>
    <xf numFmtId="176" fontId="35" fillId="0" borderId="1" xfId="8" applyNumberFormat="1" applyFont="1" applyBorder="1" applyAlignment="1">
      <alignment horizontal="center" vertical="center"/>
    </xf>
    <xf numFmtId="0" fontId="34" fillId="0" borderId="3" xfId="8" applyFont="1" applyBorder="1" applyAlignment="1">
      <alignment horizontal="center" vertical="center"/>
    </xf>
    <xf numFmtId="176" fontId="35" fillId="0" borderId="3" xfId="8" applyNumberFormat="1" applyFont="1" applyBorder="1" applyAlignment="1">
      <alignment horizontal="center" vertical="center"/>
    </xf>
    <xf numFmtId="0" fontId="35" fillId="0" borderId="3" xfId="8" applyFont="1" applyBorder="1">
      <alignment vertical="center"/>
    </xf>
    <xf numFmtId="0" fontId="34" fillId="0" borderId="40" xfId="8" applyFont="1" applyBorder="1" applyAlignment="1">
      <alignment horizontal="center" vertical="center"/>
    </xf>
    <xf numFmtId="176" fontId="35" fillId="0" borderId="39" xfId="8" applyNumberFormat="1" applyFont="1" applyBorder="1" applyAlignment="1">
      <alignment horizontal="center" vertical="center"/>
    </xf>
    <xf numFmtId="0" fontId="35" fillId="0" borderId="39" xfId="8" applyFont="1" applyBorder="1">
      <alignment vertical="center"/>
    </xf>
    <xf numFmtId="0" fontId="0" fillId="0" borderId="0" xfId="0" pivotButton="1"/>
    <xf numFmtId="0" fontId="0" fillId="0" borderId="0" xfId="0" applyAlignment="1">
      <alignment horizontal="left" indent="1"/>
    </xf>
    <xf numFmtId="38" fontId="0" fillId="2" borderId="1" xfId="0" applyNumberFormat="1" applyFill="1" applyBorder="1" applyAlignment="1">
      <alignment horizontal="center" vertical="center" shrinkToFit="1"/>
    </xf>
    <xf numFmtId="0" fontId="0" fillId="0" borderId="1" xfId="0" applyBorder="1" applyAlignment="1">
      <alignment horizontal="left"/>
    </xf>
    <xf numFmtId="0" fontId="39" fillId="6" borderId="4" xfId="0" applyFont="1" applyFill="1" applyBorder="1" applyAlignment="1">
      <alignment horizontal="center" vertical="center" shrinkToFit="1"/>
    </xf>
    <xf numFmtId="0" fontId="14" fillId="0" borderId="4" xfId="0" applyFont="1" applyBorder="1" applyAlignment="1">
      <alignment horizontal="center" vertical="center" shrinkToFit="1"/>
    </xf>
    <xf numFmtId="0" fontId="0" fillId="0" borderId="4" xfId="0" applyBorder="1" applyAlignment="1">
      <alignment horizontal="left" vertical="center" shrinkToFit="1"/>
    </xf>
    <xf numFmtId="9" fontId="0" fillId="0" borderId="21" xfId="2" applyFont="1" applyFill="1" applyBorder="1" applyAlignment="1">
      <alignment horizontal="center" vertical="center" shrinkToFit="1"/>
    </xf>
    <xf numFmtId="38" fontId="0" fillId="0" borderId="4" xfId="1" applyFont="1" applyFill="1" applyBorder="1" applyAlignment="1">
      <alignment horizontal="center" vertical="center" shrinkToFit="1"/>
    </xf>
    <xf numFmtId="38" fontId="26" fillId="0" borderId="20" xfId="1" applyFont="1" applyFill="1" applyBorder="1" applyAlignment="1">
      <alignment horizontal="center" vertical="center" shrinkToFit="1"/>
    </xf>
    <xf numFmtId="38" fontId="0" fillId="0" borderId="20" xfId="1" applyFont="1" applyFill="1" applyBorder="1" applyAlignment="1">
      <alignment horizontal="center" vertical="center" shrinkToFit="1"/>
    </xf>
    <xf numFmtId="56" fontId="0" fillId="0" borderId="4" xfId="1" applyNumberFormat="1" applyFont="1" applyFill="1" applyBorder="1" applyAlignment="1">
      <alignment horizontal="center" vertical="center" shrinkToFit="1"/>
    </xf>
    <xf numFmtId="0" fontId="0" fillId="0" borderId="20" xfId="1" applyNumberFormat="1" applyFont="1" applyFill="1" applyBorder="1" applyAlignment="1">
      <alignment horizontal="center" vertical="center" shrinkToFit="1"/>
    </xf>
    <xf numFmtId="38" fontId="26" fillId="0" borderId="4" xfId="1" applyFont="1" applyFill="1" applyBorder="1" applyAlignment="1">
      <alignment horizontal="center" vertical="center" shrinkToFit="1"/>
    </xf>
    <xf numFmtId="0" fontId="14" fillId="0" borderId="1" xfId="0" applyFont="1" applyBorder="1" applyAlignment="1">
      <alignment horizontal="center" vertical="center" shrinkToFit="1"/>
    </xf>
    <xf numFmtId="185" fontId="0" fillId="0" borderId="1" xfId="1" applyNumberFormat="1" applyFont="1" applyFill="1" applyBorder="1" applyAlignment="1">
      <alignment horizontal="center" vertical="center" shrinkToFit="1"/>
    </xf>
    <xf numFmtId="0" fontId="39" fillId="0" borderId="21" xfId="0" applyFont="1" applyBorder="1" applyAlignment="1">
      <alignment horizontal="center" vertical="center" shrinkToFit="1"/>
    </xf>
    <xf numFmtId="0" fontId="39" fillId="0" borderId="4" xfId="0" applyFont="1" applyBorder="1" applyAlignment="1">
      <alignment horizontal="center" vertical="center" shrinkToFit="1"/>
    </xf>
    <xf numFmtId="179" fontId="0" fillId="0" borderId="1" xfId="1" applyNumberFormat="1" applyFont="1" applyFill="1" applyBorder="1" applyAlignment="1">
      <alignment horizontal="center" vertical="center" shrinkToFit="1"/>
    </xf>
    <xf numFmtId="38" fontId="0" fillId="0" borderId="0" xfId="1" applyFont="1" applyFill="1" applyBorder="1" applyAlignment="1">
      <alignment horizontal="center" vertical="center" shrinkToFit="1"/>
    </xf>
    <xf numFmtId="38" fontId="0" fillId="0" borderId="23" xfId="1" applyFont="1" applyFill="1" applyBorder="1" applyAlignment="1">
      <alignment horizontal="center" vertical="center" shrinkToFit="1"/>
    </xf>
    <xf numFmtId="0" fontId="0" fillId="0" borderId="37" xfId="0" applyBorder="1"/>
    <xf numFmtId="0" fontId="0" fillId="11" borderId="21" xfId="0" applyFill="1" applyBorder="1" applyAlignment="1">
      <alignment horizontal="center" vertical="center" shrinkToFit="1"/>
    </xf>
    <xf numFmtId="0" fontId="0" fillId="11" borderId="4" xfId="0" applyFill="1" applyBorder="1" applyAlignment="1">
      <alignment horizontal="center" vertical="center" shrinkToFit="1"/>
    </xf>
    <xf numFmtId="0" fontId="0" fillId="11" borderId="4" xfId="0" applyFill="1" applyBorder="1" applyAlignment="1">
      <alignment horizontal="left" vertical="center" shrinkToFit="1"/>
    </xf>
    <xf numFmtId="38" fontId="0" fillId="11" borderId="4" xfId="0" applyNumberFormat="1" applyFill="1" applyBorder="1" applyAlignment="1">
      <alignment horizontal="center" vertical="center" shrinkToFit="1"/>
    </xf>
    <xf numFmtId="40" fontId="0" fillId="11" borderId="4" xfId="0" applyNumberFormat="1" applyFill="1" applyBorder="1" applyAlignment="1">
      <alignment horizontal="center" vertical="center" shrinkToFit="1"/>
    </xf>
    <xf numFmtId="38" fontId="0" fillId="11" borderId="43" xfId="0" applyNumberFormat="1" applyFill="1" applyBorder="1" applyAlignment="1">
      <alignment horizontal="center" vertical="center" shrinkToFit="1"/>
    </xf>
    <xf numFmtId="186" fontId="0" fillId="2" borderId="2" xfId="0" applyNumberFormat="1" applyFill="1" applyBorder="1" applyAlignment="1">
      <alignment horizontal="center"/>
    </xf>
    <xf numFmtId="186" fontId="0" fillId="0" borderId="0" xfId="0" applyNumberFormat="1" applyAlignment="1">
      <alignment horizontal="left" indent="2"/>
    </xf>
    <xf numFmtId="3" fontId="0" fillId="0" borderId="0" xfId="0" applyNumberFormat="1"/>
    <xf numFmtId="0" fontId="3" fillId="0" borderId="0" xfId="10">
      <alignment vertical="center"/>
    </xf>
    <xf numFmtId="49" fontId="3" fillId="0" borderId="0" xfId="10" applyNumberFormat="1" applyAlignment="1">
      <alignment horizontal="right" vertical="center"/>
    </xf>
    <xf numFmtId="49" fontId="3" fillId="0" borderId="0" xfId="10" applyNumberFormat="1">
      <alignment vertical="center"/>
    </xf>
    <xf numFmtId="0" fontId="40" fillId="0" borderId="0" xfId="10" applyFont="1">
      <alignment vertical="center"/>
    </xf>
    <xf numFmtId="38" fontId="0" fillId="0" borderId="0" xfId="11" applyFont="1">
      <alignment vertical="center"/>
    </xf>
    <xf numFmtId="0" fontId="0" fillId="0" borderId="45" xfId="0" applyBorder="1" applyAlignment="1">
      <alignment vertical="center" shrinkToFit="1"/>
    </xf>
    <xf numFmtId="9" fontId="0" fillId="0" borderId="45" xfId="2" applyFont="1" applyFill="1" applyBorder="1" applyAlignment="1">
      <alignment vertical="center" shrinkToFit="1"/>
    </xf>
    <xf numFmtId="0" fontId="0" fillId="0" borderId="44" xfId="0" applyBorder="1" applyAlignment="1">
      <alignment vertical="center" shrinkToFit="1"/>
    </xf>
    <xf numFmtId="0" fontId="26" fillId="8" borderId="9" xfId="0" applyFont="1" applyFill="1" applyBorder="1" applyAlignment="1">
      <alignment horizontal="center" vertical="center" shrinkToFit="1"/>
    </xf>
    <xf numFmtId="0" fontId="26" fillId="0" borderId="0" xfId="0" applyFont="1" applyAlignment="1">
      <alignment horizontal="center" vertical="center" shrinkToFit="1"/>
    </xf>
    <xf numFmtId="0" fontId="26" fillId="8" borderId="20" xfId="0" applyFont="1" applyFill="1" applyBorder="1" applyAlignment="1">
      <alignment horizontal="center" vertical="center" shrinkToFit="1"/>
    </xf>
    <xf numFmtId="0" fontId="26" fillId="8" borderId="0" xfId="0" applyFont="1" applyFill="1" applyAlignment="1">
      <alignment horizontal="center" vertical="center" shrinkToFit="1"/>
    </xf>
    <xf numFmtId="0" fontId="26" fillId="8" borderId="21" xfId="0" applyFont="1" applyFill="1" applyBorder="1" applyAlignment="1">
      <alignment horizontal="center" vertical="center" shrinkToFit="1"/>
    </xf>
    <xf numFmtId="9" fontId="26" fillId="0" borderId="0" xfId="2" applyFont="1" applyAlignment="1">
      <alignment horizontal="right" vertical="center" shrinkToFit="1"/>
    </xf>
    <xf numFmtId="9" fontId="26" fillId="8" borderId="20" xfId="2" applyFont="1" applyFill="1" applyBorder="1" applyAlignment="1">
      <alignment horizontal="right" vertical="center" shrinkToFit="1"/>
    </xf>
    <xf numFmtId="0" fontId="26" fillId="0" borderId="0" xfId="0" applyFont="1" applyAlignment="1">
      <alignment horizontal="right" vertical="center" shrinkToFit="1"/>
    </xf>
    <xf numFmtId="9" fontId="26" fillId="8" borderId="10" xfId="2" applyFont="1" applyFill="1" applyBorder="1" applyAlignment="1">
      <alignment horizontal="right" vertical="center" shrinkToFit="1"/>
    </xf>
    <xf numFmtId="38" fontId="26" fillId="8" borderId="7" xfId="0" applyNumberFormat="1" applyFont="1" applyFill="1" applyBorder="1" applyAlignment="1">
      <alignment horizontal="center" vertical="center" shrinkToFit="1"/>
    </xf>
    <xf numFmtId="0" fontId="26" fillId="8" borderId="7" xfId="0" applyFont="1" applyFill="1" applyBorder="1" applyAlignment="1">
      <alignment horizontal="center" vertical="center" shrinkToFit="1"/>
    </xf>
    <xf numFmtId="0" fontId="26" fillId="8" borderId="11" xfId="0" applyFont="1" applyFill="1" applyBorder="1" applyAlignment="1">
      <alignment horizontal="center" vertical="center" shrinkToFit="1"/>
    </xf>
    <xf numFmtId="0" fontId="26" fillId="7" borderId="9" xfId="0" applyFont="1" applyFill="1" applyBorder="1" applyAlignment="1">
      <alignment horizontal="right" vertical="center" shrinkToFit="1"/>
    </xf>
    <xf numFmtId="0" fontId="26" fillId="7" borderId="20" xfId="0" applyFont="1" applyFill="1" applyBorder="1" applyAlignment="1">
      <alignment horizontal="right" vertical="center" shrinkToFit="1"/>
    </xf>
    <xf numFmtId="0" fontId="26" fillId="7" borderId="0" xfId="0" applyFont="1" applyFill="1" applyAlignment="1">
      <alignment horizontal="center" vertical="center" shrinkToFit="1"/>
    </xf>
    <xf numFmtId="0" fontId="26" fillId="7" borderId="21" xfId="0" applyFont="1" applyFill="1" applyBorder="1" applyAlignment="1">
      <alignment horizontal="center" vertical="center" shrinkToFit="1"/>
    </xf>
    <xf numFmtId="9" fontId="26" fillId="7" borderId="20" xfId="2" applyFont="1" applyFill="1" applyBorder="1" applyAlignment="1">
      <alignment horizontal="right" vertical="center" shrinkToFit="1"/>
    </xf>
    <xf numFmtId="38" fontId="26" fillId="7" borderId="0" xfId="1" applyFont="1" applyFill="1" applyBorder="1" applyAlignment="1">
      <alignment vertical="center" shrinkToFit="1"/>
    </xf>
    <xf numFmtId="38" fontId="26" fillId="7" borderId="21" xfId="1" applyFont="1" applyFill="1" applyBorder="1" applyAlignment="1">
      <alignment vertical="center" shrinkToFit="1"/>
    </xf>
    <xf numFmtId="38" fontId="26" fillId="7" borderId="0" xfId="0" applyNumberFormat="1" applyFont="1" applyFill="1" applyAlignment="1">
      <alignment horizontal="right" vertical="center" shrinkToFit="1"/>
    </xf>
    <xf numFmtId="38" fontId="26" fillId="7" borderId="21" xfId="0" applyNumberFormat="1" applyFont="1" applyFill="1" applyBorder="1" applyAlignment="1">
      <alignment horizontal="right" vertical="center" shrinkToFit="1"/>
    </xf>
    <xf numFmtId="0" fontId="26" fillId="7" borderId="10" xfId="0" applyFont="1" applyFill="1" applyBorder="1" applyAlignment="1">
      <alignment horizontal="right" vertical="center" shrinkToFit="1"/>
    </xf>
    <xf numFmtId="38" fontId="26" fillId="7" borderId="7" xfId="0" applyNumberFormat="1" applyFont="1" applyFill="1" applyBorder="1" applyAlignment="1">
      <alignment horizontal="right" vertical="center" shrinkToFit="1"/>
    </xf>
    <xf numFmtId="0" fontId="26" fillId="7" borderId="7" xfId="0" applyFont="1" applyFill="1" applyBorder="1" applyAlignment="1">
      <alignment horizontal="center" vertical="center" shrinkToFit="1"/>
    </xf>
    <xf numFmtId="0" fontId="26" fillId="7" borderId="11" xfId="0" applyFont="1" applyFill="1" applyBorder="1" applyAlignment="1">
      <alignment horizontal="center" vertical="center" shrinkToFit="1"/>
    </xf>
    <xf numFmtId="38" fontId="26" fillId="0" borderId="0" xfId="1" applyFont="1" applyAlignment="1">
      <alignment vertical="center" shrinkToFit="1"/>
    </xf>
    <xf numFmtId="180" fontId="26" fillId="7" borderId="9" xfId="0" applyNumberFormat="1" applyFont="1" applyFill="1" applyBorder="1" applyAlignment="1">
      <alignment horizontal="right" vertical="center" shrinkToFit="1"/>
    </xf>
    <xf numFmtId="180" fontId="26" fillId="0" borderId="0" xfId="0" applyNumberFormat="1" applyFont="1" applyAlignment="1">
      <alignment horizontal="center" vertical="center" shrinkToFit="1"/>
    </xf>
    <xf numFmtId="180" fontId="26" fillId="7" borderId="20" xfId="0" applyNumberFormat="1" applyFont="1" applyFill="1" applyBorder="1" applyAlignment="1">
      <alignment horizontal="right" vertical="center" shrinkToFit="1"/>
    </xf>
    <xf numFmtId="180" fontId="26" fillId="7" borderId="0" xfId="0" applyNumberFormat="1" applyFont="1" applyFill="1" applyAlignment="1">
      <alignment horizontal="center" vertical="center" shrinkToFit="1"/>
    </xf>
    <xf numFmtId="180" fontId="26" fillId="7" borderId="21" xfId="0" applyNumberFormat="1" applyFont="1" applyFill="1" applyBorder="1" applyAlignment="1">
      <alignment horizontal="center" vertical="center" shrinkToFit="1"/>
    </xf>
    <xf numFmtId="180" fontId="26" fillId="7" borderId="0" xfId="1" applyNumberFormat="1" applyFont="1" applyFill="1" applyBorder="1" applyAlignment="1">
      <alignment vertical="center" shrinkToFit="1"/>
    </xf>
    <xf numFmtId="180" fontId="26" fillId="7" borderId="21" xfId="1" applyNumberFormat="1" applyFont="1" applyFill="1" applyBorder="1" applyAlignment="1">
      <alignment vertical="center" shrinkToFit="1"/>
    </xf>
    <xf numFmtId="180" fontId="26" fillId="7" borderId="20" xfId="2" applyNumberFormat="1" applyFont="1" applyFill="1" applyBorder="1" applyAlignment="1">
      <alignment horizontal="right" vertical="center" shrinkToFit="1"/>
    </xf>
    <xf numFmtId="180" fontId="26" fillId="7" borderId="0" xfId="0" applyNumberFormat="1" applyFont="1" applyFill="1" applyAlignment="1">
      <alignment horizontal="right" vertical="center" shrinkToFit="1"/>
    </xf>
    <xf numFmtId="180" fontId="26" fillId="7" borderId="21" xfId="0" applyNumberFormat="1" applyFont="1" applyFill="1" applyBorder="1" applyAlignment="1">
      <alignment horizontal="right" vertical="center" shrinkToFit="1"/>
    </xf>
    <xf numFmtId="180" fontId="26" fillId="7" borderId="10" xfId="0" applyNumberFormat="1" applyFont="1" applyFill="1" applyBorder="1" applyAlignment="1">
      <alignment horizontal="right" vertical="center" shrinkToFit="1"/>
    </xf>
    <xf numFmtId="180" fontId="26" fillId="7" borderId="7" xfId="0" applyNumberFormat="1" applyFont="1" applyFill="1" applyBorder="1" applyAlignment="1">
      <alignment horizontal="right" vertical="center" shrinkToFit="1"/>
    </xf>
    <xf numFmtId="180" fontId="26" fillId="7" borderId="7" xfId="0" applyNumberFormat="1" applyFont="1" applyFill="1" applyBorder="1" applyAlignment="1">
      <alignment horizontal="center" vertical="center" shrinkToFit="1"/>
    </xf>
    <xf numFmtId="180" fontId="26" fillId="7" borderId="11" xfId="0" applyNumberFormat="1" applyFont="1" applyFill="1" applyBorder="1" applyAlignment="1">
      <alignment horizontal="center" vertical="center" shrinkToFit="1"/>
    </xf>
    <xf numFmtId="0" fontId="0" fillId="4" borderId="0" xfId="0" applyFill="1" applyAlignment="1">
      <alignment horizontal="center" vertical="center" shrinkToFit="1"/>
    </xf>
    <xf numFmtId="38" fontId="0" fillId="4" borderId="0" xfId="0" applyNumberFormat="1" applyFill="1" applyAlignment="1">
      <alignment horizontal="center" vertical="center" shrinkToFit="1"/>
    </xf>
    <xf numFmtId="0" fontId="0" fillId="3" borderId="0" xfId="0" applyFill="1" applyAlignment="1">
      <alignment horizontal="center" vertical="center" shrinkToFit="1"/>
    </xf>
    <xf numFmtId="38" fontId="0" fillId="3" borderId="0" xfId="0" applyNumberFormat="1" applyFill="1" applyAlignment="1">
      <alignment horizontal="center" vertical="center" shrinkToFit="1"/>
    </xf>
    <xf numFmtId="0" fontId="0" fillId="12" borderId="1" xfId="0" applyFill="1" applyBorder="1" applyAlignment="1">
      <alignment horizontal="center" vertical="center" shrinkToFit="1"/>
    </xf>
    <xf numFmtId="0" fontId="0" fillId="12" borderId="1" xfId="0" applyFill="1" applyBorder="1" applyAlignment="1">
      <alignment horizontal="left" vertical="center" shrinkToFit="1"/>
    </xf>
    <xf numFmtId="38" fontId="0" fillId="12" borderId="1" xfId="1" applyFont="1" applyFill="1" applyBorder="1" applyAlignment="1">
      <alignment horizontal="center" vertical="center" shrinkToFit="1"/>
    </xf>
    <xf numFmtId="56" fontId="0" fillId="12" borderId="1" xfId="1" applyNumberFormat="1" applyFont="1" applyFill="1" applyBorder="1" applyAlignment="1">
      <alignment horizontal="center" vertical="center" shrinkToFit="1"/>
    </xf>
    <xf numFmtId="0" fontId="0" fillId="12" borderId="1" xfId="1" applyNumberFormat="1" applyFont="1" applyFill="1" applyBorder="1" applyAlignment="1">
      <alignment horizontal="center" vertical="center" shrinkToFit="1"/>
    </xf>
    <xf numFmtId="38" fontId="26" fillId="12" borderId="1" xfId="1" applyFont="1" applyFill="1" applyBorder="1" applyAlignment="1">
      <alignment horizontal="center" vertical="center" shrinkToFit="1"/>
    </xf>
    <xf numFmtId="38" fontId="26" fillId="0" borderId="11" xfId="1" applyFont="1" applyFill="1" applyBorder="1" applyAlignment="1">
      <alignment horizontal="center" vertical="center" shrinkToFit="1"/>
    </xf>
    <xf numFmtId="56" fontId="42" fillId="0" borderId="1" xfId="1" applyNumberFormat="1" applyFont="1" applyFill="1" applyBorder="1" applyAlignment="1">
      <alignment horizontal="center" vertical="center" shrinkToFit="1"/>
    </xf>
    <xf numFmtId="0" fontId="26" fillId="0" borderId="1" xfId="1" applyNumberFormat="1" applyFont="1" applyFill="1" applyBorder="1" applyAlignment="1">
      <alignment horizontal="center" vertical="center" shrinkToFit="1"/>
    </xf>
    <xf numFmtId="3" fontId="0" fillId="0" borderId="1" xfId="0" applyNumberFormat="1" applyBorder="1" applyAlignment="1">
      <alignment horizontal="right"/>
    </xf>
    <xf numFmtId="0" fontId="35" fillId="0" borderId="0" xfId="8" applyFont="1" applyAlignment="1">
      <alignment vertical="top" wrapText="1"/>
    </xf>
    <xf numFmtId="0" fontId="34" fillId="0" borderId="0" xfId="8" applyFont="1" applyAlignment="1" applyProtection="1">
      <alignment horizontal="right" vertical="center"/>
      <protection locked="0"/>
    </xf>
    <xf numFmtId="0" fontId="0" fillId="0" borderId="21" xfId="0" applyBorder="1" applyAlignment="1">
      <alignment horizontal="left" vertical="center" shrinkToFit="1"/>
    </xf>
    <xf numFmtId="0" fontId="14" fillId="0" borderId="2" xfId="0" applyFont="1" applyBorder="1" applyAlignment="1">
      <alignment horizontal="left" vertical="center" shrinkToFit="1"/>
    </xf>
    <xf numFmtId="0" fontId="10" fillId="0" borderId="0" xfId="0" applyFont="1" applyAlignment="1">
      <alignment horizontal="center" vertical="center" shrinkToFit="1"/>
    </xf>
    <xf numFmtId="0" fontId="17" fillId="0" borderId="0" xfId="0" applyFont="1" applyAlignment="1">
      <alignment horizontal="center" vertical="center" shrinkToFit="1"/>
    </xf>
    <xf numFmtId="9" fontId="0" fillId="0" borderId="1" xfId="2" applyFont="1" applyBorder="1" applyAlignment="1">
      <alignment horizontal="center" vertical="center" shrinkToFit="1"/>
    </xf>
    <xf numFmtId="38" fontId="0" fillId="0" borderId="1" xfId="1" applyFont="1" applyBorder="1" applyAlignment="1">
      <alignment horizontal="center" vertical="center" shrinkToFit="1"/>
    </xf>
    <xf numFmtId="38" fontId="0" fillId="0" borderId="2" xfId="1" applyFont="1" applyBorder="1" applyAlignment="1">
      <alignment horizontal="center" vertical="center" shrinkToFit="1"/>
    </xf>
    <xf numFmtId="38" fontId="26" fillId="0" borderId="2" xfId="1" applyFont="1" applyBorder="1" applyAlignment="1">
      <alignment horizontal="center" vertical="center" shrinkToFit="1"/>
    </xf>
    <xf numFmtId="38" fontId="0" fillId="0" borderId="9" xfId="1" applyFont="1" applyFill="1" applyBorder="1" applyAlignment="1">
      <alignment horizontal="center" vertical="center" shrinkToFit="1"/>
    </xf>
    <xf numFmtId="40" fontId="0" fillId="0" borderId="1" xfId="1" applyNumberFormat="1" applyFont="1" applyBorder="1" applyAlignment="1">
      <alignment horizontal="center" vertical="center" shrinkToFit="1"/>
    </xf>
    <xf numFmtId="40" fontId="0" fillId="0" borderId="2" xfId="1" applyNumberFormat="1" applyFont="1" applyBorder="1" applyAlignment="1">
      <alignment horizontal="center" vertical="center" shrinkToFit="1"/>
    </xf>
    <xf numFmtId="40" fontId="0" fillId="0" borderId="2" xfId="1" applyNumberFormat="1" applyFont="1" applyFill="1" applyBorder="1" applyAlignment="1">
      <alignment horizontal="center" vertical="center" shrinkToFit="1"/>
    </xf>
    <xf numFmtId="0" fontId="35" fillId="0" borderId="2" xfId="8" applyFont="1" applyBorder="1">
      <alignment vertical="center"/>
    </xf>
    <xf numFmtId="179" fontId="0" fillId="2" borderId="1" xfId="0" applyNumberFormat="1" applyFill="1" applyBorder="1" applyAlignment="1">
      <alignment vertical="center"/>
    </xf>
    <xf numFmtId="0" fontId="0" fillId="11" borderId="1" xfId="0" applyFill="1" applyBorder="1" applyAlignment="1">
      <alignment horizontal="left" vertical="center" shrinkToFit="1"/>
    </xf>
    <xf numFmtId="0" fontId="0" fillId="9" borderId="8" xfId="0" applyFill="1" applyBorder="1" applyAlignment="1">
      <alignment horizontal="center" vertical="center" shrinkToFit="1"/>
    </xf>
    <xf numFmtId="38" fontId="26" fillId="0" borderId="1" xfId="1" applyFont="1" applyBorder="1" applyAlignment="1">
      <alignment horizontal="center" vertical="center" shrinkToFit="1"/>
    </xf>
    <xf numFmtId="0" fontId="14" fillId="9" borderId="1" xfId="0" applyFont="1" applyFill="1" applyBorder="1" applyAlignment="1">
      <alignment horizontal="left" vertical="center" shrinkToFit="1"/>
    </xf>
    <xf numFmtId="0" fontId="14" fillId="0" borderId="1" xfId="0" applyFont="1" applyBorder="1" applyAlignment="1">
      <alignment horizontal="left" vertical="center" shrinkToFit="1"/>
    </xf>
    <xf numFmtId="0" fontId="0" fillId="10" borderId="18" xfId="0" applyFill="1" applyBorder="1" applyAlignment="1">
      <alignment horizontal="center" vertical="center" shrinkToFit="1"/>
    </xf>
    <xf numFmtId="38" fontId="0" fillId="11" borderId="20" xfId="0" applyNumberFormat="1" applyFill="1" applyBorder="1" applyAlignment="1">
      <alignment horizontal="center" vertical="center" shrinkToFit="1"/>
    </xf>
    <xf numFmtId="38" fontId="0" fillId="11" borderId="21" xfId="0" applyNumberFormat="1" applyFill="1" applyBorder="1" applyAlignment="1">
      <alignment horizontal="center" vertical="center" shrinkToFit="1"/>
    </xf>
    <xf numFmtId="0" fontId="0" fillId="7" borderId="0" xfId="0" applyFill="1" applyAlignment="1">
      <alignment horizontal="center" vertical="center" shrinkToFit="1"/>
    </xf>
    <xf numFmtId="0" fontId="0" fillId="10" borderId="16" xfId="0" applyFill="1" applyBorder="1" applyAlignment="1">
      <alignment horizontal="center" vertical="center" shrinkToFit="1"/>
    </xf>
    <xf numFmtId="0" fontId="0" fillId="10" borderId="47" xfId="0" applyFill="1" applyBorder="1" applyAlignment="1">
      <alignment horizontal="center" vertical="center" shrinkToFit="1"/>
    </xf>
    <xf numFmtId="38" fontId="0" fillId="11" borderId="48" xfId="0" applyNumberFormat="1" applyFill="1" applyBorder="1" applyAlignment="1">
      <alignment horizontal="center" vertical="center" shrinkToFit="1"/>
    </xf>
    <xf numFmtId="38" fontId="0" fillId="11" borderId="46" xfId="0" applyNumberFormat="1" applyFill="1" applyBorder="1" applyAlignment="1">
      <alignment horizontal="center" vertical="center" shrinkToFit="1"/>
    </xf>
    <xf numFmtId="38" fontId="0" fillId="11" borderId="49" xfId="0" applyNumberFormat="1" applyFill="1" applyBorder="1" applyAlignment="1">
      <alignment horizontal="center" vertical="center" shrinkToFit="1"/>
    </xf>
    <xf numFmtId="180" fontId="41" fillId="7" borderId="18" xfId="0" applyNumberFormat="1" applyFont="1" applyFill="1" applyBorder="1" applyAlignment="1">
      <alignment horizontal="center" vertical="center" shrinkToFit="1"/>
    </xf>
    <xf numFmtId="180" fontId="26" fillId="7" borderId="18" xfId="0" applyNumberFormat="1" applyFont="1" applyFill="1" applyBorder="1" applyAlignment="1">
      <alignment horizontal="center" vertical="center" shrinkToFit="1"/>
    </xf>
    <xf numFmtId="180" fontId="26" fillId="7" borderId="8" xfId="0" applyNumberFormat="1" applyFont="1" applyFill="1" applyBorder="1" applyAlignment="1">
      <alignment horizontal="center" vertical="center" shrinkToFit="1"/>
    </xf>
    <xf numFmtId="0" fontId="0" fillId="7" borderId="2" xfId="0" applyFill="1" applyBorder="1" applyAlignment="1">
      <alignment horizontal="center" vertical="center" wrapText="1" shrinkToFit="1"/>
    </xf>
    <xf numFmtId="0" fontId="0" fillId="7" borderId="3" xfId="0" applyFill="1" applyBorder="1" applyAlignment="1">
      <alignment horizontal="center" vertical="center" wrapText="1" shrinkToFit="1"/>
    </xf>
    <xf numFmtId="0" fontId="0" fillId="7" borderId="9" xfId="0" applyFill="1" applyBorder="1" applyAlignment="1">
      <alignment horizontal="center" vertical="center" shrinkToFit="1"/>
    </xf>
    <xf numFmtId="0" fontId="0" fillId="7" borderId="18" xfId="0" applyFill="1" applyBorder="1" applyAlignment="1">
      <alignment horizontal="center" vertical="center" shrinkToFit="1"/>
    </xf>
    <xf numFmtId="0" fontId="0" fillId="7" borderId="8" xfId="0" applyFill="1" applyBorder="1" applyAlignment="1">
      <alignment horizontal="center" vertical="center" shrinkToFit="1"/>
    </xf>
    <xf numFmtId="0" fontId="0" fillId="7" borderId="10" xfId="0" applyFill="1" applyBorder="1" applyAlignment="1">
      <alignment horizontal="center" vertical="center" shrinkToFit="1"/>
    </xf>
    <xf numFmtId="0" fontId="0" fillId="7" borderId="7" xfId="0" applyFill="1" applyBorder="1" applyAlignment="1">
      <alignment horizontal="center" vertical="center" shrinkToFit="1"/>
    </xf>
    <xf numFmtId="0" fontId="0" fillId="7" borderId="11" xfId="0" applyFill="1" applyBorder="1" applyAlignment="1">
      <alignment horizontal="center" vertical="center" shrinkToFit="1"/>
    </xf>
    <xf numFmtId="0" fontId="0" fillId="7" borderId="10" xfId="0" applyFill="1" applyBorder="1" applyAlignment="1">
      <alignment horizontal="center" vertical="center" wrapText="1" shrinkToFit="1"/>
    </xf>
    <xf numFmtId="0" fontId="0" fillId="7" borderId="7" xfId="0" applyFill="1" applyBorder="1" applyAlignment="1">
      <alignment horizontal="center" vertical="center" wrapText="1" shrinkToFit="1"/>
    </xf>
    <xf numFmtId="0" fontId="0" fillId="7" borderId="11" xfId="0" applyFill="1" applyBorder="1" applyAlignment="1">
      <alignment horizontal="center" vertical="center" wrapText="1" shrinkToFit="1"/>
    </xf>
    <xf numFmtId="0" fontId="0" fillId="7" borderId="5" xfId="0" applyFill="1" applyBorder="1" applyAlignment="1">
      <alignment horizontal="center" vertical="center" wrapText="1" shrinkToFit="1"/>
    </xf>
    <xf numFmtId="0" fontId="0" fillId="7" borderId="6" xfId="0" applyFill="1" applyBorder="1" applyAlignment="1">
      <alignment horizontal="center" vertical="center" wrapText="1" shrinkToFit="1"/>
    </xf>
    <xf numFmtId="0" fontId="0" fillId="7" borderId="17" xfId="0" applyFill="1" applyBorder="1" applyAlignment="1">
      <alignment horizontal="center" vertical="center" wrapText="1" shrinkToFit="1"/>
    </xf>
    <xf numFmtId="0" fontId="41" fillId="8" borderId="0" xfId="0" applyFont="1" applyFill="1" applyAlignment="1">
      <alignment horizontal="center" vertical="center" shrinkToFit="1"/>
    </xf>
    <xf numFmtId="0" fontId="41" fillId="7" borderId="18" xfId="0" applyFont="1" applyFill="1" applyBorder="1" applyAlignment="1">
      <alignment horizontal="center" vertical="center" shrinkToFit="1"/>
    </xf>
    <xf numFmtId="0" fontId="26" fillId="7" borderId="18" xfId="0" applyFont="1" applyFill="1" applyBorder="1" applyAlignment="1">
      <alignment horizontal="center" vertical="center" shrinkToFit="1"/>
    </xf>
    <xf numFmtId="0" fontId="26" fillId="7" borderId="8" xfId="0" applyFont="1" applyFill="1" applyBorder="1" applyAlignment="1">
      <alignment horizontal="center" vertical="center" shrinkToFit="1"/>
    </xf>
    <xf numFmtId="0" fontId="0" fillId="3" borderId="5" xfId="0" applyFill="1" applyBorder="1" applyAlignment="1">
      <alignment horizontal="center" vertical="center" shrinkToFit="1"/>
    </xf>
    <xf numFmtId="0" fontId="0" fillId="3" borderId="17" xfId="0" applyFill="1" applyBorder="1" applyAlignment="1">
      <alignment horizontal="center" vertical="center" shrinkToFit="1"/>
    </xf>
    <xf numFmtId="0" fontId="0" fillId="3" borderId="6" xfId="0" applyFill="1" applyBorder="1" applyAlignment="1">
      <alignment horizontal="center" vertical="center" shrinkToFit="1"/>
    </xf>
    <xf numFmtId="0" fontId="0" fillId="7" borderId="1" xfId="0" applyFill="1" applyBorder="1" applyAlignment="1">
      <alignment horizontal="center" vertical="center" wrapText="1" shrinkToFit="1"/>
    </xf>
    <xf numFmtId="0" fontId="0" fillId="7" borderId="1" xfId="0" applyFill="1" applyBorder="1" applyAlignment="1">
      <alignment horizontal="center" vertical="center" shrinkToFit="1"/>
    </xf>
    <xf numFmtId="0" fontId="0" fillId="7" borderId="2" xfId="0" applyFill="1" applyBorder="1" applyAlignment="1">
      <alignment horizontal="center" vertical="center" shrinkToFit="1"/>
    </xf>
    <xf numFmtId="0" fontId="0" fillId="7" borderId="3" xfId="0" applyFill="1" applyBorder="1" applyAlignment="1">
      <alignment horizontal="center" vertical="center" shrinkToFit="1"/>
    </xf>
    <xf numFmtId="0" fontId="26" fillId="7" borderId="2" xfId="0" applyFont="1" applyFill="1" applyBorder="1" applyAlignment="1">
      <alignment horizontal="center" vertical="center" wrapText="1" shrinkToFit="1"/>
    </xf>
    <xf numFmtId="0" fontId="26" fillId="7" borderId="4" xfId="0" applyFont="1" applyFill="1" applyBorder="1" applyAlignment="1">
      <alignment horizontal="center" vertical="center" wrapText="1" shrinkToFit="1"/>
    </xf>
    <xf numFmtId="0" fontId="26" fillId="7" borderId="3" xfId="0" applyFont="1" applyFill="1" applyBorder="1" applyAlignment="1">
      <alignment horizontal="center" vertical="center" wrapText="1" shrinkToFit="1"/>
    </xf>
    <xf numFmtId="0" fontId="32" fillId="0" borderId="0" xfId="3" applyFont="1" applyAlignment="1">
      <alignment horizontal="center" vertical="center" shrinkToFit="1"/>
    </xf>
    <xf numFmtId="0" fontId="0" fillId="7" borderId="4" xfId="0" applyFill="1" applyBorder="1" applyAlignment="1">
      <alignment horizontal="center" vertical="center" wrapText="1" shrinkToFit="1"/>
    </xf>
    <xf numFmtId="0" fontId="9" fillId="7" borderId="2" xfId="0" applyFont="1" applyFill="1" applyBorder="1" applyAlignment="1">
      <alignment horizontal="center" vertical="center" wrapText="1" shrinkToFit="1"/>
    </xf>
    <xf numFmtId="0" fontId="9" fillId="7" borderId="4" xfId="0" applyFont="1" applyFill="1" applyBorder="1" applyAlignment="1">
      <alignment horizontal="center" vertical="center" wrapText="1" shrinkToFit="1"/>
    </xf>
    <xf numFmtId="0" fontId="9" fillId="7" borderId="3" xfId="0" applyFont="1" applyFill="1" applyBorder="1" applyAlignment="1">
      <alignment horizontal="center" vertical="center" wrapText="1" shrinkToFit="1"/>
    </xf>
    <xf numFmtId="0" fontId="0" fillId="7" borderId="4" xfId="0" applyFill="1" applyBorder="1" applyAlignment="1">
      <alignment horizontal="center" vertical="center" shrinkToFit="1"/>
    </xf>
    <xf numFmtId="0" fontId="26" fillId="7" borderId="9" xfId="0" applyFont="1" applyFill="1" applyBorder="1" applyAlignment="1">
      <alignment horizontal="center" vertical="center" wrapText="1" shrinkToFit="1"/>
    </xf>
    <xf numFmtId="0" fontId="26" fillId="7" borderId="20" xfId="0" applyFont="1" applyFill="1" applyBorder="1" applyAlignment="1">
      <alignment horizontal="center" vertical="center" wrapText="1" shrinkToFit="1"/>
    </xf>
    <xf numFmtId="0" fontId="26" fillId="7" borderId="10" xfId="0" applyFont="1" applyFill="1" applyBorder="1" applyAlignment="1">
      <alignment horizontal="center" vertical="center" wrapText="1" shrinkToFit="1"/>
    </xf>
    <xf numFmtId="0" fontId="0" fillId="7" borderId="22" xfId="0" applyFill="1" applyBorder="1" applyAlignment="1">
      <alignment horizontal="center" vertical="center" wrapText="1" shrinkToFit="1"/>
    </xf>
    <xf numFmtId="0" fontId="0" fillId="7" borderId="23" xfId="0" applyFill="1" applyBorder="1" applyAlignment="1">
      <alignment horizontal="center" vertical="center" wrapText="1" shrinkToFit="1"/>
    </xf>
    <xf numFmtId="0" fontId="0" fillId="7" borderId="19" xfId="0" applyFill="1" applyBorder="1" applyAlignment="1">
      <alignment horizontal="center" vertical="center" wrapText="1" shrinkToFit="1"/>
    </xf>
    <xf numFmtId="0" fontId="0" fillId="7" borderId="8" xfId="0" applyFill="1" applyBorder="1" applyAlignment="1">
      <alignment horizontal="center" vertical="center" wrapText="1" shrinkToFit="1"/>
    </xf>
    <xf numFmtId="0" fontId="0" fillId="7" borderId="21" xfId="0" applyFill="1" applyBorder="1" applyAlignment="1">
      <alignment horizontal="center" vertical="center" wrapText="1" shrinkToFit="1"/>
    </xf>
    <xf numFmtId="0" fontId="9" fillId="7" borderId="9" xfId="0" applyFont="1" applyFill="1" applyBorder="1" applyAlignment="1">
      <alignment horizontal="center" vertical="center" wrapText="1" shrinkToFit="1"/>
    </xf>
    <xf numFmtId="0" fontId="10" fillId="7" borderId="10" xfId="0" applyFont="1" applyFill="1" applyBorder="1" applyAlignment="1">
      <alignment horizontal="center" vertical="center" wrapText="1" shrinkToFit="1"/>
    </xf>
    <xf numFmtId="55" fontId="26" fillId="7" borderId="17" xfId="0" applyNumberFormat="1" applyFont="1" applyFill="1" applyBorder="1" applyAlignment="1">
      <alignment horizontal="center" vertical="center"/>
    </xf>
    <xf numFmtId="0" fontId="26" fillId="7" borderId="17" xfId="0" applyFont="1" applyFill="1" applyBorder="1" applyAlignment="1">
      <alignment horizontal="center" vertical="center"/>
    </xf>
    <xf numFmtId="0" fontId="26" fillId="7" borderId="6" xfId="0" applyFont="1" applyFill="1" applyBorder="1" applyAlignment="1">
      <alignment horizontal="center" vertical="center"/>
    </xf>
    <xf numFmtId="0" fontId="0" fillId="7" borderId="13" xfId="0" applyFill="1" applyBorder="1" applyAlignment="1">
      <alignment horizontal="center" vertical="center" wrapText="1" shrinkToFit="1"/>
    </xf>
    <xf numFmtId="0" fontId="0" fillId="7" borderId="14" xfId="0" applyFill="1" applyBorder="1" applyAlignment="1">
      <alignment horizontal="center" vertical="center" wrapText="1" shrinkToFit="1"/>
    </xf>
    <xf numFmtId="0" fontId="0" fillId="7" borderId="9" xfId="0" applyFill="1" applyBorder="1" applyAlignment="1">
      <alignment horizontal="center" vertical="center" wrapText="1" shrinkToFit="1"/>
    </xf>
    <xf numFmtId="0" fontId="0" fillId="7" borderId="18" xfId="0" applyFill="1" applyBorder="1" applyAlignment="1">
      <alignment horizontal="center" vertical="center" wrapText="1" shrinkToFit="1"/>
    </xf>
    <xf numFmtId="0" fontId="0" fillId="7" borderId="5" xfId="0" applyFill="1" applyBorder="1" applyAlignment="1">
      <alignment horizontal="center" vertical="center" shrinkToFit="1"/>
    </xf>
    <xf numFmtId="0" fontId="0" fillId="7" borderId="6" xfId="0" applyFill="1" applyBorder="1" applyAlignment="1">
      <alignment horizontal="center" vertical="center" shrinkToFit="1"/>
    </xf>
    <xf numFmtId="0" fontId="9" fillId="7" borderId="1" xfId="0" applyFont="1" applyFill="1" applyBorder="1" applyAlignment="1">
      <alignment horizontal="center" vertical="center" wrapText="1" shrinkToFit="1"/>
    </xf>
    <xf numFmtId="0" fontId="10" fillId="7" borderId="1" xfId="0" applyFont="1" applyFill="1" applyBorder="1" applyAlignment="1">
      <alignment horizontal="center" vertical="center" shrinkToFit="1"/>
    </xf>
    <xf numFmtId="0" fontId="26" fillId="9" borderId="2" xfId="0" applyFont="1" applyFill="1" applyBorder="1" applyAlignment="1">
      <alignment horizontal="center" vertical="center" wrapText="1" shrinkToFit="1"/>
    </xf>
    <xf numFmtId="0" fontId="26" fillId="9" borderId="4" xfId="0" applyFont="1" applyFill="1" applyBorder="1" applyAlignment="1">
      <alignment horizontal="center" vertical="center" wrapText="1" shrinkToFit="1"/>
    </xf>
    <xf numFmtId="0" fontId="26" fillId="9" borderId="3" xfId="0" applyFont="1" applyFill="1" applyBorder="1" applyAlignment="1">
      <alignment horizontal="center" vertical="center" wrapText="1" shrinkToFit="1"/>
    </xf>
    <xf numFmtId="0" fontId="26" fillId="8" borderId="18" xfId="0" applyFont="1" applyFill="1" applyBorder="1" applyAlignment="1">
      <alignment horizontal="center" vertical="center" shrinkToFit="1"/>
    </xf>
    <xf numFmtId="0" fontId="26" fillId="8" borderId="8" xfId="0" applyFont="1" applyFill="1" applyBorder="1" applyAlignment="1">
      <alignment horizontal="center" vertical="center" shrinkToFit="1"/>
    </xf>
    <xf numFmtId="0" fontId="41" fillId="8" borderId="18" xfId="0" applyFont="1" applyFill="1" applyBorder="1" applyAlignment="1">
      <alignment horizontal="center" vertical="center" shrinkToFit="1"/>
    </xf>
    <xf numFmtId="0" fontId="28" fillId="3" borderId="18" xfId="0" applyFont="1" applyFill="1" applyBorder="1" applyAlignment="1">
      <alignment horizontal="center" vertical="center" shrinkToFit="1"/>
    </xf>
    <xf numFmtId="0" fontId="29" fillId="3" borderId="18" xfId="0" applyFont="1" applyFill="1" applyBorder="1" applyAlignment="1">
      <alignment horizontal="center" vertical="center" shrinkToFit="1"/>
    </xf>
    <xf numFmtId="0" fontId="26" fillId="8" borderId="0" xfId="0" applyFont="1" applyFill="1" applyAlignment="1">
      <alignment horizontal="center" vertical="center" shrinkToFit="1"/>
    </xf>
    <xf numFmtId="0" fontId="26" fillId="8" borderId="21" xfId="0" applyFont="1" applyFill="1" applyBorder="1" applyAlignment="1">
      <alignment horizontal="center" vertical="center" shrinkToFit="1"/>
    </xf>
    <xf numFmtId="0" fontId="35" fillId="0" borderId="5" xfId="8" applyFont="1" applyBorder="1" applyAlignment="1">
      <alignment horizontal="center" vertical="center"/>
    </xf>
    <xf numFmtId="0" fontId="35" fillId="0" borderId="17" xfId="8" applyFont="1" applyBorder="1" applyAlignment="1">
      <alignment horizontal="center" vertical="center"/>
    </xf>
    <xf numFmtId="0" fontId="35" fillId="0" borderId="6" xfId="8" applyFont="1" applyBorder="1" applyAlignment="1">
      <alignment horizontal="center" vertical="center"/>
    </xf>
    <xf numFmtId="0" fontId="34" fillId="0" borderId="0" xfId="8" applyFont="1" applyAlignment="1" applyProtection="1">
      <protection locked="0"/>
    </xf>
    <xf numFmtId="49" fontId="34" fillId="0" borderId="7" xfId="8" applyNumberFormat="1" applyFont="1" applyBorder="1" applyAlignment="1" applyProtection="1">
      <protection locked="0"/>
    </xf>
    <xf numFmtId="49" fontId="35" fillId="0" borderId="7" xfId="8" applyNumberFormat="1" applyFont="1" applyBorder="1" applyAlignment="1" applyProtection="1">
      <protection locked="0"/>
    </xf>
    <xf numFmtId="0" fontId="35" fillId="0" borderId="7" xfId="8" applyFont="1" applyBorder="1" applyAlignment="1" applyProtection="1">
      <protection locked="0"/>
    </xf>
    <xf numFmtId="58" fontId="34" fillId="0" borderId="0" xfId="8" applyNumberFormat="1" applyFont="1" applyAlignment="1">
      <alignment horizontal="right"/>
    </xf>
    <xf numFmtId="0" fontId="34" fillId="0" borderId="1" xfId="8" applyFont="1" applyBorder="1" applyAlignment="1" applyProtection="1">
      <alignment horizontal="center" vertical="center"/>
      <protection locked="0"/>
    </xf>
    <xf numFmtId="0" fontId="34" fillId="0" borderId="1" xfId="8" applyFont="1" applyBorder="1" applyAlignment="1" applyProtection="1">
      <alignment horizontal="center" vertical="top" wrapText="1"/>
      <protection locked="0"/>
    </xf>
    <xf numFmtId="0" fontId="35" fillId="0" borderId="10" xfId="8" applyFont="1" applyBorder="1" applyAlignment="1">
      <alignment horizontal="center" vertical="center"/>
    </xf>
    <xf numFmtId="0" fontId="35" fillId="0" borderId="7" xfId="8" applyFont="1" applyBorder="1" applyAlignment="1">
      <alignment horizontal="center" vertical="center"/>
    </xf>
    <xf numFmtId="0" fontId="35" fillId="0" borderId="11" xfId="8" applyFont="1" applyBorder="1" applyAlignment="1">
      <alignment horizontal="center" vertical="center"/>
    </xf>
    <xf numFmtId="0" fontId="34" fillId="0" borderId="7" xfId="8" applyFont="1" applyBorder="1" applyAlignment="1" applyProtection="1">
      <protection locked="0"/>
    </xf>
    <xf numFmtId="0" fontId="35" fillId="0" borderId="40" xfId="8" applyFont="1" applyBorder="1" applyAlignment="1">
      <alignment horizontal="center" vertical="center"/>
    </xf>
    <xf numFmtId="0" fontId="35" fillId="0" borderId="41" xfId="8" applyFont="1" applyBorder="1" applyAlignment="1">
      <alignment horizontal="center" vertical="center"/>
    </xf>
    <xf numFmtId="0" fontId="35" fillId="0" borderId="42" xfId="8" applyFont="1" applyBorder="1" applyAlignment="1">
      <alignment horizontal="center" vertical="center"/>
    </xf>
    <xf numFmtId="0" fontId="34" fillId="0" borderId="2" xfId="8" applyFont="1" applyBorder="1" applyAlignment="1" applyProtection="1">
      <alignment horizontal="center" vertical="center"/>
      <protection locked="0"/>
    </xf>
    <xf numFmtId="0" fontId="34" fillId="0" borderId="4" xfId="8" applyFont="1" applyBorder="1" applyAlignment="1" applyProtection="1">
      <alignment horizontal="center" vertical="center"/>
      <protection locked="0"/>
    </xf>
    <xf numFmtId="0" fontId="36" fillId="0" borderId="0" xfId="8" applyFont="1" applyAlignment="1" applyProtection="1">
      <alignment horizontal="center" vertical="center"/>
      <protection locked="0"/>
    </xf>
    <xf numFmtId="0" fontId="34" fillId="0" borderId="0" xfId="8" applyFont="1" applyAlignment="1" applyProtection="1">
      <alignment horizontal="left" vertical="top" wrapText="1"/>
      <protection locked="0"/>
    </xf>
  </cellXfs>
  <cellStyles count="12">
    <cellStyle name="パーセント" xfId="2" builtinId="5"/>
    <cellStyle name="パーセント 2" xfId="4" xr:uid="{38623C9C-AE60-410C-833E-C97EB9E4F172}"/>
    <cellStyle name="桁区切り" xfId="1" builtinId="6"/>
    <cellStyle name="桁区切り 2" xfId="6" xr:uid="{9FE8845A-2904-44A5-A14F-8CB726E3B275}"/>
    <cellStyle name="桁区切り 2 2" xfId="7" xr:uid="{8E85D3DA-0774-456D-8A55-9E9CBA3A9335}"/>
    <cellStyle name="桁区切り 3" xfId="9" xr:uid="{3C9B0448-ABDC-4178-9086-DEE67BDFFBD1}"/>
    <cellStyle name="桁区切り 3 2" xfId="11" xr:uid="{59596C3B-3AA1-4B5A-8134-B558F47F63A4}"/>
    <cellStyle name="標準" xfId="0" builtinId="0"/>
    <cellStyle name="標準 2" xfId="3" xr:uid="{6BB35910-274E-43E6-AFF1-ACB80C603566}"/>
    <cellStyle name="標準 2 2" xfId="5" xr:uid="{8EDDD335-4B21-445C-AC64-4C7C3E66B886}"/>
    <cellStyle name="標準 3" xfId="8" xr:uid="{6E53F9EE-F940-4E61-9CAB-402E9D73A710}"/>
    <cellStyle name="標準 3 2" xfId="10" xr:uid="{25119BC8-CDDF-4B40-A15B-71F09CF846F6}"/>
  </cellStyles>
  <dxfs count="244">
    <dxf>
      <font>
        <strike val="0"/>
        <color theme="1"/>
      </font>
      <fill>
        <patternFill>
          <bgColor rgb="FFFF0000"/>
        </patternFill>
      </fill>
    </dxf>
    <dxf>
      <numFmt numFmtId="3" formatCode="#,##0"/>
    </dxf>
    <dxf>
      <fill>
        <patternFill patternType="solid">
          <fgColor indexed="64"/>
          <bgColor theme="4"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86" formatCode="&quot;伝票No.&quot;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border>
    </dxf>
    <dxf>
      <numFmt numFmtId="3" formatCode="#,##0"/>
      <alignment horizontal="right" vertical="bottom" textRotation="0" wrapText="0" indent="0" justifyLastLine="0" shrinkToFit="0" readingOrder="0"/>
      <border diagonalUp="0" diagonalDown="0" outline="0">
        <left style="thin">
          <color indexed="64"/>
        </left>
        <right/>
        <top style="thin">
          <color indexed="64"/>
        </top>
        <bottom/>
      </border>
    </dxf>
    <dxf>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47" formatCode="m&quot;月&quot;d&quot;日&quo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right style="thin">
          <color indexed="64"/>
        </right>
        <top style="thin">
          <color indexed="64"/>
        </top>
        <bottom/>
      </border>
    </dxf>
    <dxf>
      <numFmt numFmtId="0" formatCode="Genera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theme="7" tint="0.79998168889431442"/>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6" formatCode="#,##0;[Red]\-#,##0"/>
      <fill>
        <patternFill patternType="solid">
          <fgColor indexed="64"/>
          <bgColor theme="4" tint="0.79998168889431442"/>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style="thin">
          <color indexed="64"/>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font>
        <b val="0"/>
        <i val="0"/>
        <strike val="0"/>
        <condense val="0"/>
        <extend val="0"/>
        <outline val="0"/>
        <shadow val="0"/>
        <u val="none"/>
        <vertAlign val="baseline"/>
        <sz val="11"/>
        <color theme="1"/>
        <name val="游ゴシック"/>
        <family val="2"/>
        <scheme val="minor"/>
      </font>
      <numFmt numFmtId="179" formatCode="#,##0.00_);[Red]\(#,##0.00\)"/>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6" formatCode="#,##0;[Red]\-#,##0"/>
      <fill>
        <patternFill patternType="solid">
          <fgColor indexed="64"/>
          <bgColor theme="4" tint="0.79998168889431442"/>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solid">
          <fgColor indexed="64"/>
          <bgColor theme="4" tint="0.79998168889431442"/>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79" formatCode="#,##0.00_);[Red]\(#,##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0" formatCode="#,##0.0_);[Red]\(#,##0.0\)"/>
      <fill>
        <patternFill patternType="solid">
          <fgColor indexed="64"/>
          <bgColor theme="4" tint="0.79998168889431442"/>
        </patternFill>
      </fill>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79" formatCode="#,##0.00_);[Red]\(#,##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0" formatCode="#,##0.0_);[Red]\(#,##0.0\)"/>
      <fill>
        <patternFill patternType="solid">
          <fgColor indexed="64"/>
          <bgColor theme="4" tint="0.79998168889431442"/>
        </patternFill>
      </fill>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79" formatCode="#,##0.00_);[Red]\(#,##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0" formatCode="#,##0.0_);[Red]\(#,##0.0\)"/>
      <fill>
        <patternFill patternType="solid">
          <fgColor indexed="64"/>
          <bgColor theme="4" tint="0.79998168889431442"/>
        </patternFill>
      </fill>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79" formatCode="#,##0.00_);[Red]\(#,##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0" formatCode="#,##0.0_);[Red]\(#,##0.0\)"/>
      <fill>
        <patternFill patternType="solid">
          <fgColor indexed="64"/>
          <bgColor theme="4" tint="0.79998168889431442"/>
        </patternFill>
      </fill>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79" formatCode="#,##0.00_);[Red]\(#,##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0" formatCode="#,##0.0_);[Red]\(#,##0.0\)"/>
      <fill>
        <patternFill patternType="solid">
          <fgColor indexed="64"/>
          <bgColor theme="4" tint="0.79998168889431442"/>
        </patternFill>
      </fill>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79" formatCode="#,##0.00_);[Red]\(#,##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0" formatCode="#,##0.0_);[Red]\(#,##0.0\)"/>
      <fill>
        <patternFill patternType="solid">
          <fgColor indexed="64"/>
          <bgColor theme="4" tint="0.79998168889431442"/>
        </patternFill>
      </fill>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79" formatCode="#,##0.00_);[Red]\(#,##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0" formatCode="#,##0.0_);[Red]\(#,##0.0\)"/>
      <fill>
        <patternFill patternType="solid">
          <fgColor indexed="64"/>
          <bgColor theme="4" tint="0.79998168889431442"/>
        </patternFill>
      </fill>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79" formatCode="#,##0.00_);[Red]\(#,##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0" formatCode="#,##0.0_);[Red]\(#,##0.0\)"/>
      <fill>
        <patternFill patternType="solid">
          <fgColor indexed="64"/>
          <bgColor theme="4" tint="0.79998168889431442"/>
        </patternFill>
      </fill>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3"/>
        <charset val="128"/>
        <scheme val="minor"/>
      </font>
      <numFmt numFmtId="176" formatCode="#,##0_);[Red]\(#,##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79" formatCode="#,##0.00_);[Red]\(#,##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1" diagonalDown="0" outline="0">
        <left style="thin">
          <color indexed="64"/>
        </left>
        <right style="thin">
          <color indexed="64"/>
        </right>
        <top/>
        <bottom/>
        <diagonal style="thin">
          <color indexed="64"/>
        </diagonal>
      </border>
    </dxf>
    <dxf>
      <numFmt numFmtId="180" formatCode="#,##0.0_);[Red]\(#,##0.0\)"/>
      <fill>
        <patternFill patternType="solid">
          <fgColor indexed="64"/>
          <bgColor theme="4" tint="0.79998168889431442"/>
        </patternFill>
      </fill>
      <alignment horizontal="general" vertical="center" textRotation="0" wrapText="0" indent="0" justifyLastLine="0" shrinkToFit="0" readingOrder="0"/>
      <border diagonalUp="0" diagonalDown="0" outline="0">
        <left/>
        <right style="thin">
          <color indexed="64"/>
        </right>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outline="0">
        <left/>
        <right/>
        <top/>
        <bottom style="thin">
          <color indexed="64"/>
        </bottom>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5" formatCode="#,##0.00_ ;[Red]\-#,##0.00\ "/>
      <fill>
        <patternFill patternType="none">
          <fgColor indexed="64"/>
          <bgColor indexed="65"/>
        </patternFill>
      </fill>
      <alignment horizontal="center" vertical="center" textRotation="0" wrapText="0" indent="0" justifyLastLine="0" shrinkToFit="1" readingOrder="0"/>
      <border diagonalUp="0" diagonalDown="0">
        <left/>
        <right style="thin">
          <color indexed="64"/>
        </right>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5" formatCode="#,##0.00_ ;[Red]\-#,##0.00\ "/>
      <fill>
        <patternFill patternType="none">
          <fgColor indexed="64"/>
          <bgColor indexed="65"/>
        </patternFill>
      </fill>
      <alignment horizontal="center" vertical="center" textRotation="0" wrapText="0" indent="0" justifyLastLine="0" shrinkToFit="1" readingOrder="0"/>
      <border diagonalUp="0" diagonalDown="0">
        <left/>
        <right style="thin">
          <color indexed="64"/>
        </right>
        <top/>
        <bottom style="thin">
          <color indexed="64"/>
        </bottom>
        <vertical/>
        <horizontal/>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5" formatCode="#,##0.00_ ;[Red]\-#,##0.00\ "/>
      <fill>
        <patternFill patternType="none">
          <fgColor indexed="64"/>
          <bgColor indexed="65"/>
        </patternFill>
      </fill>
      <alignment horizontal="center" vertical="center" textRotation="0" wrapText="0" indent="0" justifyLastLine="0" shrinkToFit="1" readingOrder="0"/>
      <border diagonalUp="0" diagonalDown="0">
        <left/>
        <right style="thin">
          <color indexed="64"/>
        </right>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5" formatCode="#,##0.00_ ;[Red]\-#,##0.00\ "/>
      <fill>
        <patternFill patternType="none">
          <fgColor indexed="64"/>
          <bgColor indexed="65"/>
        </patternFill>
      </fill>
      <alignment horizontal="center" vertical="center" textRotation="0" wrapText="0" indent="0" justifyLastLine="0" shrinkToFit="1" readingOrder="0"/>
      <border diagonalUp="0" diagonalDown="0">
        <left/>
        <right style="thin">
          <color indexed="64"/>
        </right>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5" formatCode="#,##0.00_ ;[Red]\-#,##0.00\ "/>
      <fill>
        <patternFill patternType="none">
          <fgColor indexed="64"/>
          <bgColor indexed="65"/>
        </patternFill>
      </fill>
      <alignment horizontal="center" vertical="center" textRotation="0" wrapText="0" indent="0" justifyLastLine="0" shrinkToFit="1" readingOrder="0"/>
      <border diagonalUp="0" diagonalDown="0">
        <left/>
        <right style="thin">
          <color indexed="64"/>
        </right>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185" formatCode="#,##0.00_ ;[Red]\-#,##0.00\ "/>
      <fill>
        <patternFill patternType="none">
          <fgColor indexed="64"/>
          <bgColor indexed="65"/>
        </patternFill>
      </fill>
      <alignment horizontal="center" vertical="center" textRotation="0" wrapText="0" indent="0" justifyLastLine="0" shrinkToFit="1" readingOrder="0"/>
      <border diagonalUp="0" diagonalDown="0">
        <left/>
        <right style="thin">
          <color indexed="64"/>
        </right>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游ゴシック"/>
        <family val="3"/>
        <charset val="128"/>
        <scheme val="minor"/>
      </font>
      <numFmt numFmtId="6" formatCode="#,##0;[Red]\-#,##0"/>
      <fill>
        <patternFill patternType="solid">
          <fgColor indexed="64"/>
          <bgColor theme="4" tint="0.79998168889431442"/>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游ゴシック"/>
        <family val="3"/>
        <charset val="128"/>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游ゴシック"/>
        <family val="3"/>
        <charset val="128"/>
        <scheme val="minor"/>
      </font>
      <numFmt numFmtId="6" formatCode="#,##0;[Red]\-#,##0"/>
      <fill>
        <patternFill patternType="solid">
          <fgColor indexed="64"/>
          <bgColor theme="4" tint="0.79998168889431442"/>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8" formatCode="#,##0.00;[Red]\-#,##0.00"/>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8" formatCode="#,##0.00;[Red]\-#,##0.00"/>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8" formatCode="#,##0.00;[Red]\-#,##0.00"/>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8" formatCode="#,##0.00;[Red]\-#,##0.00"/>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8" formatCode="#,##0.00;[Red]\-#,##0.00"/>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8" formatCode="#,##0.00;[Red]\-#,##0.0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numFmt numFmtId="8" formatCode="#,##0.00;[Red]\-#,##0.00"/>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solid">
          <fgColor indexed="64"/>
          <bgColor theme="4" tint="0.79998168889431442"/>
        </patternFill>
      </fill>
      <alignment horizontal="center" vertical="center" textRotation="0" wrapText="0" indent="0" justifyLastLine="0" shrinkToFit="1" readingOrder="0"/>
      <border diagonalUp="0" diagonalDown="0" outline="0">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medium">
          <color indexed="64"/>
        </right>
        <top/>
        <bottom style="medium">
          <color indexed="64"/>
        </bottom>
      </border>
    </dxf>
    <dxf>
      <font>
        <b val="0"/>
        <i val="0"/>
        <strike val="0"/>
        <condense val="0"/>
        <extend val="0"/>
        <outline val="0"/>
        <shadow val="0"/>
        <u val="none"/>
        <vertAlign val="baseline"/>
        <sz val="11"/>
        <color theme="1"/>
        <name val="游ゴシック"/>
        <family val="2"/>
        <scheme val="minor"/>
      </font>
      <fill>
        <patternFill patternType="solid">
          <fgColor indexed="64"/>
          <bgColor theme="4" tint="0.79998168889431442"/>
        </patternFill>
      </fill>
      <alignment horizontal="center" vertical="center" textRotation="0" wrapText="0" indent="0" justifyLastLine="0" shrinkToFit="1" readingOrder="0"/>
      <border diagonalUp="0" diagonalDown="0">
        <left style="thin">
          <color indexed="64"/>
        </left>
        <right style="medium">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theme="1"/>
        <name val="游ゴシック"/>
        <family val="2"/>
        <scheme val="minor"/>
      </font>
      <fill>
        <patternFill patternType="solid">
          <fgColor indexed="64"/>
          <bgColor theme="4" tint="0.79998168889431442"/>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theme="1"/>
        <name val="游ゴシック"/>
        <family val="2"/>
        <scheme val="minor"/>
      </font>
      <numFmt numFmtId="47" formatCode="m&quot;月&quot;d&quot;日&quo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medium">
          <color indexed="64"/>
        </left>
        <right style="thin">
          <color indexed="64"/>
        </right>
        <top/>
        <bottom style="medium">
          <color indexed="64"/>
        </bottom>
      </border>
    </dxf>
    <dxf>
      <font>
        <b val="0"/>
        <i val="0"/>
        <strike val="0"/>
        <condense val="0"/>
        <extend val="0"/>
        <outline val="0"/>
        <shadow val="0"/>
        <u val="none"/>
        <vertAlign val="baseline"/>
        <sz val="11"/>
        <color theme="1"/>
        <name val="游ゴシック"/>
        <family val="2"/>
        <scheme val="minor"/>
      </font>
      <fill>
        <patternFill patternType="solid">
          <fgColor indexed="64"/>
          <bgColor theme="4" tint="0.79998168889431442"/>
        </patternFill>
      </fill>
      <alignment horizontal="center" vertical="center" textRotation="0" wrapText="0" indent="0" justifyLastLine="0" shrinkToFit="1" readingOrder="0"/>
      <border diagonalUp="0" diagonalDown="0">
        <left style="medium">
          <color indexed="64"/>
        </left>
        <right style="thin">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medium">
          <color indexed="64"/>
        </right>
        <top style="thin">
          <color indexed="64"/>
        </top>
        <bottom style="thin">
          <color indexed="64"/>
        </bottom>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numFmt numFmtId="6" formatCode="#,##0;[Red]\-#,##0"/>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59999389629810485"/>
        </patternFill>
      </fill>
      <alignment horizontal="lef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59999389629810485"/>
        </patternFill>
      </fill>
      <alignment horizontal="left"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left"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bottom/>
        <vertical/>
        <horizontal/>
      </border>
    </dxf>
    <dxf>
      <fill>
        <patternFill patternType="solid">
          <fgColor indexed="64"/>
          <bgColor theme="9" tint="0.59999389629810485"/>
        </patternFill>
      </fill>
      <alignment horizontal="center" vertical="center" textRotation="0" wrapText="0" indent="0" justifyLastLine="0" shrinkToFit="1" readingOrder="0"/>
      <border diagonalUp="0" diagonalDown="0" outline="0">
        <left/>
        <right style="thin">
          <color indexed="64"/>
        </right>
        <top/>
        <bottom/>
      </border>
    </dxf>
    <dxf>
      <fill>
        <patternFill patternType="none">
          <fgColor indexed="64"/>
          <bgColor indexed="65"/>
        </patternFill>
      </fill>
      <alignment horizontal="center" vertical="center" textRotation="0" wrapText="0" indent="0" justifyLastLine="0" shrinkToFit="1" readingOrder="0"/>
      <border diagonalUp="0" diagonalDown="0">
        <left/>
        <right style="thin">
          <color indexed="64"/>
        </right>
        <top/>
        <bottom/>
        <vertical/>
        <horizontal/>
      </border>
    </dxf>
    <dxf>
      <fill>
        <patternFill patternType="solid">
          <fgColor indexed="64"/>
          <bgColor theme="9" tint="0.59999389629810485"/>
        </patternFill>
      </fill>
    </dxf>
    <dxf>
      <border outline="0">
        <left style="thin">
          <color indexed="64"/>
        </left>
        <right style="thin">
          <color indexed="64"/>
        </right>
        <bottom style="medium">
          <color indexed="64"/>
        </bottom>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center" vertical="center" textRotation="0" wrapText="0" indent="0" justifyLastLine="0" shrinkToFit="1" readingOrder="0"/>
    </dxf>
    <dxf>
      <font>
        <b val="0"/>
        <i val="0"/>
        <strike val="0"/>
        <condense val="0"/>
        <extend val="0"/>
        <outline val="0"/>
        <shadow val="0"/>
        <u val="none"/>
        <vertAlign val="baseline"/>
        <sz val="11"/>
        <color theme="1"/>
        <name val="游ゴシック"/>
        <family val="2"/>
        <scheme val="minor"/>
      </font>
      <fill>
        <patternFill patternType="solid">
          <fgColor indexed="64"/>
          <bgColor theme="0" tint="-0.34998626667073579"/>
        </patternFill>
      </fill>
      <alignment horizontal="center" vertical="center" textRotation="0" wrapText="0" indent="0" justifyLastLine="0" shrinkToFit="1" readingOrder="0"/>
      <border diagonalUp="0" diagonalDown="0" outline="0">
        <left style="thin">
          <color indexed="64"/>
        </left>
        <right style="thin">
          <color indexed="64"/>
        </right>
        <top/>
        <bottom/>
      </border>
    </dxf>
  </dxfs>
  <tableStyles count="0" defaultTableStyle="TableStyleMedium2" defaultPivotStyle="PivotStyleLight16"/>
  <colors>
    <mruColors>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56</xdr:col>
      <xdr:colOff>773906</xdr:colOff>
      <xdr:row>2</xdr:row>
      <xdr:rowOff>614363</xdr:rowOff>
    </xdr:from>
    <xdr:to>
      <xdr:col>58</xdr:col>
      <xdr:colOff>11906</xdr:colOff>
      <xdr:row>7</xdr:row>
      <xdr:rowOff>73818</xdr:rowOff>
    </xdr:to>
    <xdr:sp macro="" textlink="">
      <xdr:nvSpPr>
        <xdr:cNvPr id="2" name="四角形: 角を丸くする 1">
          <a:extLst>
            <a:ext uri="{FF2B5EF4-FFF2-40B4-BE49-F238E27FC236}">
              <a16:creationId xmlns:a16="http://schemas.microsoft.com/office/drawing/2014/main" id="{80AA8F79-7B03-941F-792D-03C0024C283F}"/>
            </a:ext>
          </a:extLst>
        </xdr:cNvPr>
        <xdr:cNvSpPr/>
      </xdr:nvSpPr>
      <xdr:spPr>
        <a:xfrm>
          <a:off x="46058477" y="1093334"/>
          <a:ext cx="849086" cy="1092313"/>
        </a:xfrm>
        <a:prstGeom prst="round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45244</xdr:colOff>
      <xdr:row>2</xdr:row>
      <xdr:rowOff>609600</xdr:rowOff>
    </xdr:from>
    <xdr:to>
      <xdr:col>59</xdr:col>
      <xdr:colOff>23812</xdr:colOff>
      <xdr:row>7</xdr:row>
      <xdr:rowOff>69055</xdr:rowOff>
    </xdr:to>
    <xdr:sp macro="" textlink="">
      <xdr:nvSpPr>
        <xdr:cNvPr id="3" name="四角形: 角を丸くする 2">
          <a:extLst>
            <a:ext uri="{FF2B5EF4-FFF2-40B4-BE49-F238E27FC236}">
              <a16:creationId xmlns:a16="http://schemas.microsoft.com/office/drawing/2014/main" id="{C49D9ACB-5ABF-4D45-A7EF-C901F13B31C6}"/>
            </a:ext>
          </a:extLst>
        </xdr:cNvPr>
        <xdr:cNvSpPr/>
      </xdr:nvSpPr>
      <xdr:spPr>
        <a:xfrm>
          <a:off x="48158400" y="1109663"/>
          <a:ext cx="788193" cy="1138236"/>
        </a:xfrm>
        <a:prstGeom prst="round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464344</xdr:colOff>
      <xdr:row>7</xdr:row>
      <xdr:rowOff>238126</xdr:rowOff>
    </xdr:from>
    <xdr:to>
      <xdr:col>57</xdr:col>
      <xdr:colOff>785813</xdr:colOff>
      <xdr:row>9</xdr:row>
      <xdr:rowOff>130968</xdr:rowOff>
    </xdr:to>
    <xdr:sp macro="" textlink="">
      <xdr:nvSpPr>
        <xdr:cNvPr id="4" name="吹き出し: 四角形 3">
          <a:extLst>
            <a:ext uri="{FF2B5EF4-FFF2-40B4-BE49-F238E27FC236}">
              <a16:creationId xmlns:a16="http://schemas.microsoft.com/office/drawing/2014/main" id="{58DB7D6B-A5DC-9F2A-3F0A-340BA9B07E49}"/>
            </a:ext>
          </a:extLst>
        </xdr:cNvPr>
        <xdr:cNvSpPr/>
      </xdr:nvSpPr>
      <xdr:spPr>
        <a:xfrm>
          <a:off x="46958250" y="2416970"/>
          <a:ext cx="1131094" cy="500061"/>
        </a:xfrm>
        <a:prstGeom prst="wedgeRectCallout">
          <a:avLst>
            <a:gd name="adj1" fmla="val -1008"/>
            <a:gd name="adj2" fmla="val -84208"/>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900">
              <a:solidFill>
                <a:srgbClr val="FF0000"/>
              </a:solidFill>
            </a:rPr>
            <a:t>燃料ごとに補填金単価を入力する</a:t>
          </a:r>
        </a:p>
      </xdr:txBody>
    </xdr:sp>
    <xdr:clientData/>
  </xdr:twoCellAnchor>
  <xdr:twoCellAnchor>
    <xdr:from>
      <xdr:col>58</xdr:col>
      <xdr:colOff>461962</xdr:colOff>
      <xdr:row>7</xdr:row>
      <xdr:rowOff>154781</xdr:rowOff>
    </xdr:from>
    <xdr:to>
      <xdr:col>60</xdr:col>
      <xdr:colOff>107156</xdr:colOff>
      <xdr:row>9</xdr:row>
      <xdr:rowOff>4761</xdr:rowOff>
    </xdr:to>
    <xdr:sp macro="" textlink="">
      <xdr:nvSpPr>
        <xdr:cNvPr id="5" name="吹き出し: 四角形 4">
          <a:extLst>
            <a:ext uri="{FF2B5EF4-FFF2-40B4-BE49-F238E27FC236}">
              <a16:creationId xmlns:a16="http://schemas.microsoft.com/office/drawing/2014/main" id="{322486B1-B3EA-43FD-AE8D-DCC5019D2476}"/>
            </a:ext>
          </a:extLst>
        </xdr:cNvPr>
        <xdr:cNvSpPr/>
      </xdr:nvSpPr>
      <xdr:spPr>
        <a:xfrm>
          <a:off x="48575118" y="2333625"/>
          <a:ext cx="1264444" cy="457199"/>
        </a:xfrm>
        <a:prstGeom prst="wedgeRectCallout">
          <a:avLst>
            <a:gd name="adj1" fmla="val -37920"/>
            <a:gd name="adj2" fmla="val -75831"/>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900">
              <a:solidFill>
                <a:srgbClr val="FF0000"/>
              </a:solidFill>
            </a:rPr>
            <a:t>燃料ごとに補填対象の割合を入力する</a:t>
          </a:r>
        </a:p>
      </xdr:txBody>
    </xdr:sp>
    <xdr:clientData/>
  </xdr:twoCellAnchor>
  <xdr:twoCellAnchor>
    <xdr:from>
      <xdr:col>54</xdr:col>
      <xdr:colOff>771523</xdr:colOff>
      <xdr:row>8</xdr:row>
      <xdr:rowOff>285750</xdr:rowOff>
    </xdr:from>
    <xdr:to>
      <xdr:col>56</xdr:col>
      <xdr:colOff>23812</xdr:colOff>
      <xdr:row>29</xdr:row>
      <xdr:rowOff>0</xdr:rowOff>
    </xdr:to>
    <xdr:sp macro="" textlink="">
      <xdr:nvSpPr>
        <xdr:cNvPr id="6" name="四角形: 角を丸くする 5">
          <a:extLst>
            <a:ext uri="{FF2B5EF4-FFF2-40B4-BE49-F238E27FC236}">
              <a16:creationId xmlns:a16="http://schemas.microsoft.com/office/drawing/2014/main" id="{8365EA68-2FD1-4358-A65F-9247005FF957}"/>
            </a:ext>
          </a:extLst>
        </xdr:cNvPr>
        <xdr:cNvSpPr/>
      </xdr:nvSpPr>
      <xdr:spPr>
        <a:xfrm>
          <a:off x="45539023" y="2714625"/>
          <a:ext cx="871539" cy="6429375"/>
        </a:xfrm>
        <a:prstGeom prst="round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130968</xdr:colOff>
      <xdr:row>2</xdr:row>
      <xdr:rowOff>654843</xdr:rowOff>
    </xdr:from>
    <xdr:to>
      <xdr:col>54</xdr:col>
      <xdr:colOff>666748</xdr:colOff>
      <xdr:row>6</xdr:row>
      <xdr:rowOff>142874</xdr:rowOff>
    </xdr:to>
    <xdr:sp macro="" textlink="">
      <xdr:nvSpPr>
        <xdr:cNvPr id="7" name="吹き出し: 四角形 6">
          <a:extLst>
            <a:ext uri="{FF2B5EF4-FFF2-40B4-BE49-F238E27FC236}">
              <a16:creationId xmlns:a16="http://schemas.microsoft.com/office/drawing/2014/main" id="{F0844218-1E0C-4992-8606-289EF82510A5}"/>
            </a:ext>
          </a:extLst>
        </xdr:cNvPr>
        <xdr:cNvSpPr/>
      </xdr:nvSpPr>
      <xdr:spPr>
        <a:xfrm>
          <a:off x="43279218" y="1154906"/>
          <a:ext cx="2155030" cy="916781"/>
        </a:xfrm>
        <a:prstGeom prst="wedgeRectCallout">
          <a:avLst>
            <a:gd name="adj1" fmla="val 62843"/>
            <a:gd name="adj2" fmla="val 123778"/>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900">
              <a:solidFill>
                <a:srgbClr val="FF0000"/>
              </a:solidFill>
            </a:rPr>
            <a:t>②の補填対象割合が反映された補填対象数量が反映される（燃料購入実績に燃料ごとの割合を掛けた数量が自動算出される</a:t>
          </a:r>
          <a:r>
            <a:rPr kumimoji="1" lang="en-US" altLang="ja-JP" sz="900">
              <a:solidFill>
                <a:srgbClr val="FF0000"/>
              </a:solidFill>
            </a:rPr>
            <a:t>※</a:t>
          </a:r>
          <a:r>
            <a:rPr kumimoji="1" lang="ja-JP" altLang="en-US" sz="900">
              <a:solidFill>
                <a:srgbClr val="FF0000"/>
              </a:solidFill>
            </a:rPr>
            <a:t>計算式参照）</a:t>
          </a:r>
          <a:endParaRPr kumimoji="1" lang="en-US" altLang="ja-JP" sz="900">
            <a:solidFill>
              <a:srgbClr val="FF0000"/>
            </a:solidFill>
          </a:endParaRPr>
        </a:p>
      </xdr:txBody>
    </xdr:sp>
    <xdr:clientData/>
  </xdr:twoCellAnchor>
  <xdr:twoCellAnchor>
    <xdr:from>
      <xdr:col>56</xdr:col>
      <xdr:colOff>389505</xdr:colOff>
      <xdr:row>7</xdr:row>
      <xdr:rowOff>155122</xdr:rowOff>
    </xdr:from>
    <xdr:to>
      <xdr:col>56</xdr:col>
      <xdr:colOff>580005</xdr:colOff>
      <xdr:row>8</xdr:row>
      <xdr:rowOff>97972</xdr:rowOff>
    </xdr:to>
    <xdr:sp macro="" textlink="">
      <xdr:nvSpPr>
        <xdr:cNvPr id="8" name="楕円 7">
          <a:extLst>
            <a:ext uri="{FF2B5EF4-FFF2-40B4-BE49-F238E27FC236}">
              <a16:creationId xmlns:a16="http://schemas.microsoft.com/office/drawing/2014/main" id="{0C7404EE-4DBD-E9FE-AA2C-86319F7101D4}"/>
            </a:ext>
          </a:extLst>
        </xdr:cNvPr>
        <xdr:cNvSpPr/>
      </xdr:nvSpPr>
      <xdr:spPr>
        <a:xfrm>
          <a:off x="45674076" y="2266951"/>
          <a:ext cx="190500" cy="182335"/>
        </a:xfrm>
        <a:prstGeom prst="ellipse">
          <a:avLst/>
        </a:prstGeom>
        <a:solidFill>
          <a:schemeClr val="bg1"/>
        </a:solid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kumimoji="1" lang="en-US" altLang="ja-JP" sz="1000">
              <a:solidFill>
                <a:srgbClr val="C00000"/>
              </a:solidFill>
            </a:rPr>
            <a:t>1</a:t>
          </a:r>
          <a:endParaRPr kumimoji="1" lang="ja-JP" altLang="en-US" sz="1000">
            <a:solidFill>
              <a:srgbClr val="C00000"/>
            </a:solidFill>
          </a:endParaRPr>
        </a:p>
      </xdr:txBody>
    </xdr:sp>
    <xdr:clientData/>
  </xdr:twoCellAnchor>
  <xdr:twoCellAnchor>
    <xdr:from>
      <xdr:col>58</xdr:col>
      <xdr:colOff>330994</xdr:colOff>
      <xdr:row>7</xdr:row>
      <xdr:rowOff>95250</xdr:rowOff>
    </xdr:from>
    <xdr:to>
      <xdr:col>58</xdr:col>
      <xdr:colOff>521494</xdr:colOff>
      <xdr:row>8</xdr:row>
      <xdr:rowOff>38100</xdr:rowOff>
    </xdr:to>
    <xdr:sp macro="" textlink="">
      <xdr:nvSpPr>
        <xdr:cNvPr id="9" name="楕円 8">
          <a:extLst>
            <a:ext uri="{FF2B5EF4-FFF2-40B4-BE49-F238E27FC236}">
              <a16:creationId xmlns:a16="http://schemas.microsoft.com/office/drawing/2014/main" id="{C1F56BF5-C532-474F-823E-333B2DCDA3A3}"/>
            </a:ext>
          </a:extLst>
        </xdr:cNvPr>
        <xdr:cNvSpPr/>
      </xdr:nvSpPr>
      <xdr:spPr>
        <a:xfrm>
          <a:off x="48444150" y="2274094"/>
          <a:ext cx="190500" cy="192881"/>
        </a:xfrm>
        <a:prstGeom prst="ellipse">
          <a:avLst/>
        </a:prstGeom>
        <a:solidFill>
          <a:schemeClr val="bg1"/>
        </a:solid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kumimoji="1" lang="en-US" altLang="ja-JP" sz="1000">
              <a:solidFill>
                <a:srgbClr val="C00000"/>
              </a:solidFill>
            </a:rPr>
            <a:t>2 </a:t>
          </a:r>
        </a:p>
      </xdr:txBody>
    </xdr:sp>
    <xdr:clientData/>
  </xdr:twoCellAnchor>
  <xdr:twoCellAnchor>
    <xdr:from>
      <xdr:col>52</xdr:col>
      <xdr:colOff>71439</xdr:colOff>
      <xdr:row>2</xdr:row>
      <xdr:rowOff>400051</xdr:rowOff>
    </xdr:from>
    <xdr:to>
      <xdr:col>52</xdr:col>
      <xdr:colOff>321469</xdr:colOff>
      <xdr:row>2</xdr:row>
      <xdr:rowOff>642937</xdr:rowOff>
    </xdr:to>
    <xdr:sp macro="" textlink="">
      <xdr:nvSpPr>
        <xdr:cNvPr id="10" name="楕円 9">
          <a:extLst>
            <a:ext uri="{FF2B5EF4-FFF2-40B4-BE49-F238E27FC236}">
              <a16:creationId xmlns:a16="http://schemas.microsoft.com/office/drawing/2014/main" id="{670C87E5-E44B-4484-8857-16582A3ED446}"/>
            </a:ext>
          </a:extLst>
        </xdr:cNvPr>
        <xdr:cNvSpPr/>
      </xdr:nvSpPr>
      <xdr:spPr>
        <a:xfrm>
          <a:off x="43219689" y="900114"/>
          <a:ext cx="250030" cy="242886"/>
        </a:xfrm>
        <a:prstGeom prst="ellipse">
          <a:avLst/>
        </a:prstGeom>
        <a:solidFill>
          <a:schemeClr val="bg1"/>
        </a:solid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kumimoji="1" lang="en-US" altLang="ja-JP" sz="1000">
              <a:solidFill>
                <a:srgbClr val="C00000"/>
              </a:solidFill>
            </a:rPr>
            <a:t>3 </a:t>
          </a:r>
        </a:p>
      </xdr:txBody>
    </xdr:sp>
    <xdr:clientData/>
  </xdr:twoCellAnchor>
  <xdr:twoCellAnchor>
    <xdr:from>
      <xdr:col>25</xdr:col>
      <xdr:colOff>440532</xdr:colOff>
      <xdr:row>2</xdr:row>
      <xdr:rowOff>654844</xdr:rowOff>
    </xdr:from>
    <xdr:to>
      <xdr:col>30</xdr:col>
      <xdr:colOff>23813</xdr:colOff>
      <xdr:row>6</xdr:row>
      <xdr:rowOff>107156</xdr:rowOff>
    </xdr:to>
    <xdr:sp macro="" textlink="">
      <xdr:nvSpPr>
        <xdr:cNvPr id="11" name="吹き出し: 四角形 10">
          <a:extLst>
            <a:ext uri="{FF2B5EF4-FFF2-40B4-BE49-F238E27FC236}">
              <a16:creationId xmlns:a16="http://schemas.microsoft.com/office/drawing/2014/main" id="{7D5C7806-6A21-7E75-EF25-94A54D5A5532}"/>
            </a:ext>
          </a:extLst>
        </xdr:cNvPr>
        <xdr:cNvSpPr/>
      </xdr:nvSpPr>
      <xdr:spPr>
        <a:xfrm>
          <a:off x="22598063" y="1154907"/>
          <a:ext cx="2678906" cy="881062"/>
        </a:xfrm>
        <a:prstGeom prst="wedgeRectCallout">
          <a:avLst>
            <a:gd name="adj1" fmla="val -7056"/>
            <a:gd name="adj2" fmla="val 123701"/>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業務方法書別紙様式第２号「省エネルギー等対策取組計画」の経営する温室加温面積を記入</a:t>
          </a:r>
        </a:p>
      </xdr:txBody>
    </xdr:sp>
    <xdr:clientData/>
  </xdr:twoCellAnchor>
  <xdr:twoCellAnchor>
    <xdr:from>
      <xdr:col>46</xdr:col>
      <xdr:colOff>678656</xdr:colOff>
      <xdr:row>2</xdr:row>
      <xdr:rowOff>654842</xdr:rowOff>
    </xdr:from>
    <xdr:to>
      <xdr:col>49</xdr:col>
      <xdr:colOff>547687</xdr:colOff>
      <xdr:row>7</xdr:row>
      <xdr:rowOff>97971</xdr:rowOff>
    </xdr:to>
    <xdr:sp macro="" textlink="">
      <xdr:nvSpPr>
        <xdr:cNvPr id="12" name="吹き出し: 四角形 11">
          <a:extLst>
            <a:ext uri="{FF2B5EF4-FFF2-40B4-BE49-F238E27FC236}">
              <a16:creationId xmlns:a16="http://schemas.microsoft.com/office/drawing/2014/main" id="{C2E9D1A4-1CBD-48D3-A016-44394F45F7AA}"/>
            </a:ext>
          </a:extLst>
        </xdr:cNvPr>
        <xdr:cNvSpPr/>
      </xdr:nvSpPr>
      <xdr:spPr>
        <a:xfrm>
          <a:off x="37417942" y="1133813"/>
          <a:ext cx="2285659" cy="1075987"/>
        </a:xfrm>
        <a:prstGeom prst="wedgeRectCallout">
          <a:avLst>
            <a:gd name="adj1" fmla="val -47500"/>
            <a:gd name="adj2" fmla="val 98593"/>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業務方法書別紙様式第２号「省エネルギー等対策取組計画」の省エネ設備・生産性向上設備導入計画を記入</a:t>
          </a:r>
        </a:p>
      </xdr:txBody>
    </xdr:sp>
    <xdr:clientData/>
  </xdr:twoCellAnchor>
  <xdr:twoCellAnchor>
    <xdr:from>
      <xdr:col>19</xdr:col>
      <xdr:colOff>86406</xdr:colOff>
      <xdr:row>3</xdr:row>
      <xdr:rowOff>1021</xdr:rowOff>
    </xdr:from>
    <xdr:to>
      <xdr:col>23</xdr:col>
      <xdr:colOff>108857</xdr:colOff>
      <xdr:row>6</xdr:row>
      <xdr:rowOff>128248</xdr:rowOff>
    </xdr:to>
    <xdr:sp macro="" textlink="">
      <xdr:nvSpPr>
        <xdr:cNvPr id="13" name="吹き出し: 四角形 12">
          <a:extLst>
            <a:ext uri="{FF2B5EF4-FFF2-40B4-BE49-F238E27FC236}">
              <a16:creationId xmlns:a16="http://schemas.microsoft.com/office/drawing/2014/main" id="{0E11E85C-AD6C-420B-8FB2-B8996C73F773}"/>
            </a:ext>
          </a:extLst>
        </xdr:cNvPr>
        <xdr:cNvSpPr/>
      </xdr:nvSpPr>
      <xdr:spPr>
        <a:xfrm>
          <a:off x="16425863" y="1154907"/>
          <a:ext cx="2874508" cy="845684"/>
        </a:xfrm>
        <a:prstGeom prst="wedgeRectCallout">
          <a:avLst>
            <a:gd name="adj1" fmla="val -7867"/>
            <a:gd name="adj2" fmla="val 155881"/>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積立金の納付後、納付日を入力</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R8</a:t>
          </a:r>
          <a:r>
            <a:rPr kumimoji="1" lang="ja-JP" altLang="en-US" sz="1100">
              <a:solidFill>
                <a:srgbClr val="FF0000"/>
              </a:solidFill>
            </a:rPr>
            <a:t>年</a:t>
          </a:r>
          <a:r>
            <a:rPr kumimoji="1" lang="en-US" altLang="ja-JP" sz="1100">
              <a:solidFill>
                <a:srgbClr val="FF0000"/>
              </a:solidFill>
            </a:rPr>
            <a:t>10</a:t>
          </a:r>
          <a:r>
            <a:rPr kumimoji="1" lang="ja-JP" altLang="en-US" sz="1100">
              <a:solidFill>
                <a:srgbClr val="FF0000"/>
              </a:solidFill>
            </a:rPr>
            <a:t>月</a:t>
          </a:r>
          <a:r>
            <a:rPr kumimoji="1" lang="en-US" altLang="ja-JP" sz="1100">
              <a:solidFill>
                <a:srgbClr val="FF0000"/>
              </a:solidFill>
            </a:rPr>
            <a:t>30</a:t>
          </a:r>
          <a:r>
            <a:rPr kumimoji="1" lang="ja-JP" altLang="en-US" sz="1100">
              <a:solidFill>
                <a:srgbClr val="FF0000"/>
              </a:solidFill>
            </a:rPr>
            <a:t>日納付→「</a:t>
          </a:r>
          <a:r>
            <a:rPr kumimoji="1" lang="en-US" altLang="ja-JP" sz="1100">
              <a:solidFill>
                <a:srgbClr val="FF0000"/>
              </a:solidFill>
            </a:rPr>
            <a:t>R8.10</a:t>
          </a:r>
          <a:r>
            <a:rPr kumimoji="1" lang="ja-JP" altLang="en-US" sz="1100">
              <a:solidFill>
                <a:srgbClr val="FF0000"/>
              </a:solidFill>
            </a:rPr>
            <a:t>」を入力）</a:t>
          </a:r>
          <a:endParaRPr kumimoji="1" lang="en-US" altLang="ja-JP" sz="1100">
            <a:solidFill>
              <a:srgbClr val="FF0000"/>
            </a:solidFill>
          </a:endParaRPr>
        </a:p>
        <a:p>
          <a:pPr algn="l"/>
          <a:r>
            <a:rPr kumimoji="1" lang="en-US" altLang="ja-JP" sz="1100">
              <a:solidFill>
                <a:srgbClr val="FF0000"/>
              </a:solidFill>
            </a:rPr>
            <a:t>※</a:t>
          </a:r>
          <a:r>
            <a:rPr kumimoji="1" lang="ja-JP" altLang="en-US" sz="1100">
              <a:solidFill>
                <a:srgbClr val="FF0000"/>
              </a:solidFill>
            </a:rPr>
            <a:t>第２回納付も同様に入力</a:t>
          </a:r>
        </a:p>
      </xdr:txBody>
    </xdr:sp>
    <xdr:clientData/>
  </xdr:twoCellAnchor>
  <xdr:twoCellAnchor>
    <xdr:from>
      <xdr:col>108</xdr:col>
      <xdr:colOff>489857</xdr:colOff>
      <xdr:row>2</xdr:row>
      <xdr:rowOff>435429</xdr:rowOff>
    </xdr:from>
    <xdr:to>
      <xdr:col>110</xdr:col>
      <xdr:colOff>576602</xdr:colOff>
      <xdr:row>6</xdr:row>
      <xdr:rowOff>118044</xdr:rowOff>
    </xdr:to>
    <xdr:sp macro="" textlink="">
      <xdr:nvSpPr>
        <xdr:cNvPr id="14" name="吹き出し: 四角形 13">
          <a:extLst>
            <a:ext uri="{FF2B5EF4-FFF2-40B4-BE49-F238E27FC236}">
              <a16:creationId xmlns:a16="http://schemas.microsoft.com/office/drawing/2014/main" id="{A090507C-5661-4D5D-8A95-4CD25202A531}"/>
            </a:ext>
          </a:extLst>
        </xdr:cNvPr>
        <xdr:cNvSpPr/>
      </xdr:nvSpPr>
      <xdr:spPr>
        <a:xfrm>
          <a:off x="87923914" y="914400"/>
          <a:ext cx="2285659" cy="1075987"/>
        </a:xfrm>
        <a:prstGeom prst="wedgeRectCallout">
          <a:avLst>
            <a:gd name="adj1" fmla="val -47500"/>
            <a:gd name="adj2" fmla="val 98593"/>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農家積立金残額がマイナスになった場合、当該月の補填金交付額の算定方法が変わります。</a:t>
          </a:r>
          <a:endParaRPr kumimoji="1" lang="en-US" altLang="ja-JP" sz="1100">
            <a:solidFill>
              <a:srgbClr val="FF0000"/>
            </a:solidFill>
          </a:endParaRPr>
        </a:p>
        <a:p>
          <a:pPr algn="l"/>
          <a:r>
            <a:rPr kumimoji="1" lang="ja-JP" altLang="en-US" sz="1100">
              <a:solidFill>
                <a:srgbClr val="FF0000"/>
              </a:solidFill>
            </a:rPr>
            <a:t>県の担当者にご報告ください。</a:t>
          </a:r>
        </a:p>
      </xdr:txBody>
    </xdr:sp>
    <xdr:clientData/>
  </xdr:twoCellAnchor>
  <xdr:twoCellAnchor>
    <xdr:from>
      <xdr:col>0</xdr:col>
      <xdr:colOff>108857</xdr:colOff>
      <xdr:row>4</xdr:row>
      <xdr:rowOff>130629</xdr:rowOff>
    </xdr:from>
    <xdr:to>
      <xdr:col>3</xdr:col>
      <xdr:colOff>359908</xdr:colOff>
      <xdr:row>7</xdr:row>
      <xdr:rowOff>105455</xdr:rowOff>
    </xdr:to>
    <xdr:sp macro="" textlink="">
      <xdr:nvSpPr>
        <xdr:cNvPr id="15" name="正方形/長方形 14">
          <a:extLst>
            <a:ext uri="{FF2B5EF4-FFF2-40B4-BE49-F238E27FC236}">
              <a16:creationId xmlns:a16="http://schemas.microsoft.com/office/drawing/2014/main" id="{D250CB28-07AB-4F86-8A78-75C4014BD7DD}"/>
            </a:ext>
          </a:extLst>
        </xdr:cNvPr>
        <xdr:cNvSpPr/>
      </xdr:nvSpPr>
      <xdr:spPr>
        <a:xfrm>
          <a:off x="108857" y="1524000"/>
          <a:ext cx="2874508" cy="693284"/>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表中の白色セルを入力</a:t>
          </a:r>
        </a:p>
      </xdr:txBody>
    </xdr:sp>
    <xdr:clientData/>
  </xdr:twoCellAnchor>
  <xdr:twoCellAnchor>
    <xdr:from>
      <xdr:col>56</xdr:col>
      <xdr:colOff>773906</xdr:colOff>
      <xdr:row>2</xdr:row>
      <xdr:rowOff>614363</xdr:rowOff>
    </xdr:from>
    <xdr:to>
      <xdr:col>58</xdr:col>
      <xdr:colOff>11906</xdr:colOff>
      <xdr:row>7</xdr:row>
      <xdr:rowOff>73818</xdr:rowOff>
    </xdr:to>
    <xdr:sp macro="" textlink="">
      <xdr:nvSpPr>
        <xdr:cNvPr id="18" name="四角形: 角を丸くする 17">
          <a:extLst>
            <a:ext uri="{FF2B5EF4-FFF2-40B4-BE49-F238E27FC236}">
              <a16:creationId xmlns:a16="http://schemas.microsoft.com/office/drawing/2014/main" id="{B0020BA6-463A-44EA-BD96-6D4CD1553A7D}"/>
            </a:ext>
          </a:extLst>
        </xdr:cNvPr>
        <xdr:cNvSpPr/>
      </xdr:nvSpPr>
      <xdr:spPr>
        <a:xfrm>
          <a:off x="45086746" y="1118553"/>
          <a:ext cx="853440" cy="1134585"/>
        </a:xfrm>
        <a:prstGeom prst="round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45244</xdr:colOff>
      <xdr:row>2</xdr:row>
      <xdr:rowOff>609600</xdr:rowOff>
    </xdr:from>
    <xdr:to>
      <xdr:col>59</xdr:col>
      <xdr:colOff>23812</xdr:colOff>
      <xdr:row>7</xdr:row>
      <xdr:rowOff>69055</xdr:rowOff>
    </xdr:to>
    <xdr:sp macro="" textlink="">
      <xdr:nvSpPr>
        <xdr:cNvPr id="19" name="四角形: 角を丸くする 18">
          <a:extLst>
            <a:ext uri="{FF2B5EF4-FFF2-40B4-BE49-F238E27FC236}">
              <a16:creationId xmlns:a16="http://schemas.microsoft.com/office/drawing/2014/main" id="{4B0E2CD9-AC6F-4927-AD95-CEFDC2B8347E}"/>
            </a:ext>
          </a:extLst>
        </xdr:cNvPr>
        <xdr:cNvSpPr/>
      </xdr:nvSpPr>
      <xdr:spPr>
        <a:xfrm>
          <a:off x="45972254" y="1112520"/>
          <a:ext cx="782478" cy="1134585"/>
        </a:xfrm>
        <a:prstGeom prst="round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2</xdr:row>
      <xdr:rowOff>7620</xdr:rowOff>
    </xdr:from>
    <xdr:to>
      <xdr:col>9</xdr:col>
      <xdr:colOff>487680</xdr:colOff>
      <xdr:row>18</xdr:row>
      <xdr:rowOff>121919</xdr:rowOff>
    </xdr:to>
    <mc:AlternateContent xmlns:mc="http://schemas.openxmlformats.org/markup-compatibility/2006" xmlns:a14="http://schemas.microsoft.com/office/drawing/2010/main">
      <mc:Choice Requires="a14">
        <xdr:graphicFrame macro="">
          <xdr:nvGraphicFramePr>
            <xdr:cNvPr id="2" name="対象月 2">
              <a:extLst>
                <a:ext uri="{FF2B5EF4-FFF2-40B4-BE49-F238E27FC236}">
                  <a16:creationId xmlns:a16="http://schemas.microsoft.com/office/drawing/2014/main" id="{02BE2F0D-6BFD-4F1C-31BE-9D6962B95BAD}"/>
                </a:ext>
              </a:extLst>
            </xdr:cNvPr>
            <xdr:cNvGraphicFramePr/>
          </xdr:nvGraphicFramePr>
          <xdr:xfrm>
            <a:off x="0" y="0"/>
            <a:ext cx="0" cy="0"/>
          </xdr:xfrm>
          <a:graphic>
            <a:graphicData uri="http://schemas.microsoft.com/office/drawing/2010/slicer">
              <sle:slicer xmlns:sle="http://schemas.microsoft.com/office/drawing/2010/slicer" name="対象月 2"/>
            </a:graphicData>
          </a:graphic>
        </xdr:graphicFrame>
      </mc:Choice>
      <mc:Fallback xmlns="">
        <xdr:sp macro="" textlink="">
          <xdr:nvSpPr>
            <xdr:cNvPr id="0" name=""/>
            <xdr:cNvSpPr>
              <a:spLocks noTextEdit="1"/>
            </xdr:cNvSpPr>
          </xdr:nvSpPr>
          <xdr:spPr>
            <a:xfrm>
              <a:off x="4472940" y="464820"/>
              <a:ext cx="1828800" cy="377189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9</xdr:col>
      <xdr:colOff>579120</xdr:colOff>
      <xdr:row>2</xdr:row>
      <xdr:rowOff>0</xdr:rowOff>
    </xdr:from>
    <xdr:to>
      <xdr:col>12</xdr:col>
      <xdr:colOff>396240</xdr:colOff>
      <xdr:row>18</xdr:row>
      <xdr:rowOff>121919</xdr:rowOff>
    </xdr:to>
    <mc:AlternateContent xmlns:mc="http://schemas.openxmlformats.org/markup-compatibility/2006" xmlns:a14="http://schemas.microsoft.com/office/drawing/2010/main">
      <mc:Choice Requires="a14">
        <xdr:graphicFrame macro="">
          <xdr:nvGraphicFramePr>
            <xdr:cNvPr id="3" name="氏名">
              <a:extLst>
                <a:ext uri="{FF2B5EF4-FFF2-40B4-BE49-F238E27FC236}">
                  <a16:creationId xmlns:a16="http://schemas.microsoft.com/office/drawing/2014/main" id="{8CC41A7E-9B5F-9877-0B9C-AD0BE4C085DE}"/>
                </a:ext>
              </a:extLst>
            </xdr:cNvPr>
            <xdr:cNvGraphicFramePr/>
          </xdr:nvGraphicFramePr>
          <xdr:xfrm>
            <a:off x="0" y="0"/>
            <a:ext cx="0" cy="0"/>
          </xdr:xfrm>
          <a:graphic>
            <a:graphicData uri="http://schemas.microsoft.com/office/drawing/2010/slicer">
              <sle:slicer xmlns:sle="http://schemas.microsoft.com/office/drawing/2010/slicer" name="氏名"/>
            </a:graphicData>
          </a:graphic>
        </xdr:graphicFrame>
      </mc:Choice>
      <mc:Fallback xmlns="">
        <xdr:sp macro="" textlink="">
          <xdr:nvSpPr>
            <xdr:cNvPr id="0" name=""/>
            <xdr:cNvSpPr>
              <a:spLocks noTextEdit="1"/>
            </xdr:cNvSpPr>
          </xdr:nvSpPr>
          <xdr:spPr>
            <a:xfrm>
              <a:off x="6393180" y="457200"/>
              <a:ext cx="1828800" cy="377951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518160</xdr:colOff>
      <xdr:row>2</xdr:row>
      <xdr:rowOff>7621</xdr:rowOff>
    </xdr:from>
    <xdr:to>
      <xdr:col>11</xdr:col>
      <xdr:colOff>632460</xdr:colOff>
      <xdr:row>4</xdr:row>
      <xdr:rowOff>58421</xdr:rowOff>
    </xdr:to>
    <xdr:sp macro="" textlink="">
      <xdr:nvSpPr>
        <xdr:cNvPr id="2" name="吹き出し: 四角形 1">
          <a:extLst>
            <a:ext uri="{FF2B5EF4-FFF2-40B4-BE49-F238E27FC236}">
              <a16:creationId xmlns:a16="http://schemas.microsoft.com/office/drawing/2014/main" id="{CE37751D-9B9B-47E0-99A0-5AAA80D395ED}"/>
            </a:ext>
          </a:extLst>
        </xdr:cNvPr>
        <xdr:cNvSpPr/>
      </xdr:nvSpPr>
      <xdr:spPr>
        <a:xfrm>
          <a:off x="6880860" y="464821"/>
          <a:ext cx="1432560" cy="495300"/>
        </a:xfrm>
        <a:prstGeom prst="wedgeRectCallout">
          <a:avLst>
            <a:gd name="adj1" fmla="val -71774"/>
            <a:gd name="adj2" fmla="val -28256"/>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1200">
              <a:solidFill>
                <a:srgbClr val="FF0000"/>
              </a:solidFill>
            </a:rPr>
            <a:t>提出日を入力</a:t>
          </a:r>
          <a:endParaRPr kumimoji="1" lang="en-US" altLang="ja-JP" sz="1200">
            <a:solidFill>
              <a:srgbClr val="FF0000"/>
            </a:solidFill>
          </a:endParaRPr>
        </a:p>
      </xdr:txBody>
    </xdr:sp>
    <xdr:clientData/>
  </xdr:twoCellAnchor>
  <xdr:twoCellAnchor editAs="oneCell">
    <xdr:from>
      <xdr:col>9</xdr:col>
      <xdr:colOff>495300</xdr:colOff>
      <xdr:row>7</xdr:row>
      <xdr:rowOff>15240</xdr:rowOff>
    </xdr:from>
    <xdr:to>
      <xdr:col>12</xdr:col>
      <xdr:colOff>266700</xdr:colOff>
      <xdr:row>9</xdr:row>
      <xdr:rowOff>177799</xdr:rowOff>
    </xdr:to>
    <xdr:sp macro="" textlink="">
      <xdr:nvSpPr>
        <xdr:cNvPr id="3" name="吹き出し: 四角形 2">
          <a:extLst>
            <a:ext uri="{FF2B5EF4-FFF2-40B4-BE49-F238E27FC236}">
              <a16:creationId xmlns:a16="http://schemas.microsoft.com/office/drawing/2014/main" id="{C384006C-0422-4FE1-B00D-3D2A1E025D50}"/>
            </a:ext>
          </a:extLst>
        </xdr:cNvPr>
        <xdr:cNvSpPr/>
      </xdr:nvSpPr>
      <xdr:spPr>
        <a:xfrm>
          <a:off x="6858000" y="1600200"/>
          <a:ext cx="1760220" cy="586739"/>
        </a:xfrm>
        <a:prstGeom prst="wedgeRectCallout">
          <a:avLst>
            <a:gd name="adj1" fmla="val -71774"/>
            <a:gd name="adj2" fmla="val -28256"/>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1200">
              <a:solidFill>
                <a:srgbClr val="FF0000"/>
              </a:solidFill>
            </a:rPr>
            <a:t>住所、名称、代表者名を入力</a:t>
          </a:r>
          <a:endParaRPr kumimoji="1" lang="en-US" altLang="ja-JP" sz="1200">
            <a:solidFill>
              <a:srgbClr val="FF0000"/>
            </a:solidFill>
          </a:endParaRPr>
        </a:p>
      </xdr:txBody>
    </xdr:sp>
    <xdr:clientData/>
  </xdr:twoCellAnchor>
  <xdr:twoCellAnchor editAs="oneCell">
    <xdr:from>
      <xdr:col>12</xdr:col>
      <xdr:colOff>121920</xdr:colOff>
      <xdr:row>11</xdr:row>
      <xdr:rowOff>220980</xdr:rowOff>
    </xdr:from>
    <xdr:to>
      <xdr:col>15</xdr:col>
      <xdr:colOff>419100</xdr:colOff>
      <xdr:row>16</xdr:row>
      <xdr:rowOff>228600</xdr:rowOff>
    </xdr:to>
    <xdr:sp macro="" textlink="">
      <xdr:nvSpPr>
        <xdr:cNvPr id="4" name="吹き出し: 四角形 3">
          <a:extLst>
            <a:ext uri="{FF2B5EF4-FFF2-40B4-BE49-F238E27FC236}">
              <a16:creationId xmlns:a16="http://schemas.microsoft.com/office/drawing/2014/main" id="{8DF588B1-C527-4FA0-A7C1-561ED8BC2E6A}"/>
            </a:ext>
          </a:extLst>
        </xdr:cNvPr>
        <xdr:cNvSpPr/>
      </xdr:nvSpPr>
      <xdr:spPr>
        <a:xfrm>
          <a:off x="8473440" y="2659380"/>
          <a:ext cx="2286000" cy="1203960"/>
        </a:xfrm>
        <a:prstGeom prst="wedgeRectCallout">
          <a:avLst>
            <a:gd name="adj1" fmla="val -67317"/>
            <a:gd name="adj2" fmla="val -35304"/>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1200">
              <a:solidFill>
                <a:srgbClr val="FF0000"/>
              </a:solidFill>
            </a:rPr>
            <a:t>対象月を入力</a:t>
          </a:r>
          <a:endParaRPr kumimoji="1" lang="en-US" altLang="ja-JP" sz="1200">
            <a:solidFill>
              <a:srgbClr val="FF0000"/>
            </a:solidFill>
          </a:endParaRPr>
        </a:p>
        <a:p>
          <a:pPr algn="l"/>
          <a:r>
            <a:rPr kumimoji="1" lang="en-US" altLang="ja-JP" sz="1000">
              <a:solidFill>
                <a:srgbClr val="FF0000"/>
              </a:solidFill>
            </a:rPr>
            <a:t>※10</a:t>
          </a:r>
          <a:r>
            <a:rPr kumimoji="1" lang="ja-JP" altLang="en-US" sz="1000">
              <a:solidFill>
                <a:srgbClr val="FF0000"/>
              </a:solidFill>
            </a:rPr>
            <a:t>月分の場合、「</a:t>
          </a:r>
          <a:r>
            <a:rPr kumimoji="1" lang="en-US" altLang="ja-JP" sz="1000">
              <a:solidFill>
                <a:srgbClr val="FF0000"/>
              </a:solidFill>
            </a:rPr>
            <a:t>10</a:t>
          </a:r>
          <a:r>
            <a:rPr kumimoji="1" lang="ja-JP" altLang="en-US" sz="1000">
              <a:solidFill>
                <a:srgbClr val="FF0000"/>
              </a:solidFill>
            </a:rPr>
            <a:t>」を入力</a:t>
          </a:r>
          <a:endParaRPr kumimoji="1" lang="en-US" altLang="ja-JP" sz="1000">
            <a:solidFill>
              <a:srgbClr val="FF0000"/>
            </a:solidFill>
          </a:endParaRPr>
        </a:p>
        <a:p>
          <a:pPr algn="l"/>
          <a:r>
            <a:rPr kumimoji="1" lang="ja-JP" altLang="en-US" sz="1000">
              <a:solidFill>
                <a:srgbClr val="FF0000"/>
              </a:solidFill>
            </a:rPr>
            <a:t>→「１ 施設園芸用燃料購入実績」が自動入力されます。</a:t>
          </a:r>
          <a:endParaRPr kumimoji="1" lang="en-US" altLang="ja-JP" sz="1000">
            <a:solidFill>
              <a:srgbClr val="FF0000"/>
            </a:solidFill>
          </a:endParaRPr>
        </a:p>
      </xdr:txBody>
    </xdr:sp>
    <xdr:clientData/>
  </xdr:twoCellAnchor>
  <xdr:twoCellAnchor editAs="oneCell">
    <xdr:from>
      <xdr:col>9</xdr:col>
      <xdr:colOff>601980</xdr:colOff>
      <xdr:row>17</xdr:row>
      <xdr:rowOff>144780</xdr:rowOff>
    </xdr:from>
    <xdr:to>
      <xdr:col>13</xdr:col>
      <xdr:colOff>304800</xdr:colOff>
      <xdr:row>20</xdr:row>
      <xdr:rowOff>2540</xdr:rowOff>
    </xdr:to>
    <xdr:sp macro="" textlink="">
      <xdr:nvSpPr>
        <xdr:cNvPr id="5" name="吹き出し: 四角形 4">
          <a:extLst>
            <a:ext uri="{FF2B5EF4-FFF2-40B4-BE49-F238E27FC236}">
              <a16:creationId xmlns:a16="http://schemas.microsoft.com/office/drawing/2014/main" id="{FFA9571E-A653-44E1-BF25-D17AECB5A04C}"/>
            </a:ext>
          </a:extLst>
        </xdr:cNvPr>
        <xdr:cNvSpPr/>
      </xdr:nvSpPr>
      <xdr:spPr>
        <a:xfrm>
          <a:off x="6964680" y="4221480"/>
          <a:ext cx="2354580" cy="594360"/>
        </a:xfrm>
        <a:prstGeom prst="wedgeRectCallout">
          <a:avLst>
            <a:gd name="adj1" fmla="val -69772"/>
            <a:gd name="adj2" fmla="val -31168"/>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1200">
              <a:solidFill>
                <a:srgbClr val="FF0000"/>
              </a:solidFill>
            </a:rPr>
            <a:t>内容が正しく入力されているか、必ず確認してください。</a:t>
          </a:r>
          <a:endParaRPr kumimoji="1" lang="en-US" altLang="ja-JP" sz="1200">
            <a:solidFill>
              <a:srgbClr val="FF0000"/>
            </a:solidFill>
          </a:endParaRPr>
        </a:p>
      </xdr:txBody>
    </xdr:sp>
    <xdr:clientData/>
  </xdr:twoCellAnchor>
  <xdr:twoCellAnchor editAs="oneCell">
    <xdr:from>
      <xdr:col>10</xdr:col>
      <xdr:colOff>53340</xdr:colOff>
      <xdr:row>32</xdr:row>
      <xdr:rowOff>205740</xdr:rowOff>
    </xdr:from>
    <xdr:to>
      <xdr:col>15</xdr:col>
      <xdr:colOff>96520</xdr:colOff>
      <xdr:row>36</xdr:row>
      <xdr:rowOff>137160</xdr:rowOff>
    </xdr:to>
    <xdr:sp macro="" textlink="">
      <xdr:nvSpPr>
        <xdr:cNvPr id="6" name="吹き出し: 四角形 5">
          <a:extLst>
            <a:ext uri="{FF2B5EF4-FFF2-40B4-BE49-F238E27FC236}">
              <a16:creationId xmlns:a16="http://schemas.microsoft.com/office/drawing/2014/main" id="{19F9BB6D-AC96-48E3-AFAF-3D78EBE5D1DD}"/>
            </a:ext>
          </a:extLst>
        </xdr:cNvPr>
        <xdr:cNvSpPr/>
      </xdr:nvSpPr>
      <xdr:spPr>
        <a:xfrm>
          <a:off x="6553200" y="6172200"/>
          <a:ext cx="3345180" cy="929640"/>
        </a:xfrm>
        <a:prstGeom prst="wedgeRectCallout">
          <a:avLst>
            <a:gd name="adj1" fmla="val -69772"/>
            <a:gd name="adj2" fmla="val -31168"/>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1200">
              <a:solidFill>
                <a:srgbClr val="FF0000"/>
              </a:solidFill>
            </a:rPr>
            <a:t>行が不足する場合は、間に行を挿入し、数式をコピーしてください。</a:t>
          </a:r>
          <a:endParaRPr kumimoji="1" lang="en-US" altLang="ja-JP" sz="1200">
            <a:solidFill>
              <a:srgbClr val="FF0000"/>
            </a:solidFill>
          </a:endParaRPr>
        </a:p>
        <a:p>
          <a:pPr algn="l"/>
          <a:r>
            <a:rPr kumimoji="1" lang="ja-JP" altLang="en-US" sz="1200">
              <a:solidFill>
                <a:srgbClr val="FF0000"/>
              </a:solidFill>
            </a:rPr>
            <a:t>行が余る場合は、行ごと削除してください。</a:t>
          </a:r>
          <a:endParaRPr kumimoji="1" lang="en-US" altLang="ja-JP" sz="1200">
            <a:solidFill>
              <a:srgbClr val="FF0000"/>
            </a:solidFill>
          </a:endParaRPr>
        </a:p>
      </xdr:txBody>
    </xdr:sp>
    <xdr:clientData/>
  </xdr:twoCellAnchor>
  <xdr:twoCellAnchor editAs="oneCell">
    <xdr:from>
      <xdr:col>10</xdr:col>
      <xdr:colOff>22860</xdr:colOff>
      <xdr:row>47</xdr:row>
      <xdr:rowOff>60960</xdr:rowOff>
    </xdr:from>
    <xdr:to>
      <xdr:col>14</xdr:col>
      <xdr:colOff>76200</xdr:colOff>
      <xdr:row>51</xdr:row>
      <xdr:rowOff>139700</xdr:rowOff>
    </xdr:to>
    <xdr:sp macro="" textlink="">
      <xdr:nvSpPr>
        <xdr:cNvPr id="7" name="吹き出し: 四角形 6">
          <a:extLst>
            <a:ext uri="{FF2B5EF4-FFF2-40B4-BE49-F238E27FC236}">
              <a16:creationId xmlns:a16="http://schemas.microsoft.com/office/drawing/2014/main" id="{E58FC683-CDD0-4B66-9B36-940945838227}"/>
            </a:ext>
          </a:extLst>
        </xdr:cNvPr>
        <xdr:cNvSpPr/>
      </xdr:nvSpPr>
      <xdr:spPr>
        <a:xfrm>
          <a:off x="7048500" y="7520940"/>
          <a:ext cx="2705100" cy="609600"/>
        </a:xfrm>
        <a:prstGeom prst="wedgeRectCallout">
          <a:avLst>
            <a:gd name="adj1" fmla="val -69772"/>
            <a:gd name="adj2" fmla="val -31168"/>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1200">
              <a:solidFill>
                <a:srgbClr val="FF0000"/>
              </a:solidFill>
            </a:rPr>
            <a:t>初回の報告又は変更があった場合は入力してください。</a:t>
          </a:r>
          <a:endParaRPr kumimoji="1" lang="en-US" altLang="ja-JP" sz="1200">
            <a:solidFill>
              <a:srgbClr val="FF0000"/>
            </a:solidFill>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作成者" refreshedDate="45462.752793055559" createdVersion="8" refreshedVersion="8" minRefreshableVersion="3" recordCount="12" xr:uid="{CFEF46E7-D247-4D4B-82A5-07CED5EA86D1}">
  <cacheSource type="worksheet">
    <worksheetSource name="購入実績入力シート"/>
  </cacheSource>
  <cacheFields count="7">
    <cacheField name="対象月" numFmtId="0">
      <sharedItems containsBlank="1" count="4">
        <s v="10月"/>
        <s v="11月"/>
        <s v="12月"/>
        <m/>
      </sharedItems>
    </cacheField>
    <cacheField name="氏名" numFmtId="0">
      <sharedItems containsBlank="1" count="5">
        <s v="農家1"/>
        <s v="農家2"/>
        <s v="農家3"/>
        <s v="農家4"/>
        <m/>
      </sharedItems>
    </cacheField>
    <cacheField name="購入日" numFmtId="56">
      <sharedItems containsNonDate="0" containsDate="1" containsString="0" containsBlank="1" minDate="2024-10-01T00:00:00" maxDate="2024-12-08T00:00:00" count="9">
        <d v="2024-10-01T00:00:00"/>
        <d v="2024-10-15T00:00:00"/>
        <d v="2024-10-07T00:00:00"/>
        <d v="2024-10-08T00:00:00"/>
        <d v="2024-11-01T00:00:00"/>
        <d v="2024-11-15T00:00:00"/>
        <d v="2024-12-05T00:00:00"/>
        <d v="2024-12-07T00:00:00"/>
        <m/>
      </sharedItems>
      <fieldGroup par="6" base="2">
        <rangePr groupBy="days" startDate="2024-10-01T00:00:00" endDate="2024-12-08T00:00:00"/>
        <groupItems count="368">
          <s v="(空白)"/>
          <s v="1月1日"/>
          <s v="1月2日"/>
          <s v="1月3日"/>
          <s v="1月4日"/>
          <s v="1月5日"/>
          <s v="1月6日"/>
          <s v="1月7日"/>
          <s v="1月8日"/>
          <s v="1月9日"/>
          <s v="1月10日"/>
          <s v="1月11日"/>
          <s v="1月12日"/>
          <s v="1月13日"/>
          <s v="1月14日"/>
          <s v="1月15日"/>
          <s v="1月16日"/>
          <s v="1月17日"/>
          <s v="1月18日"/>
          <s v="1月19日"/>
          <s v="1月20日"/>
          <s v="1月21日"/>
          <s v="1月22日"/>
          <s v="1月23日"/>
          <s v="1月24日"/>
          <s v="1月25日"/>
          <s v="1月26日"/>
          <s v="1月27日"/>
          <s v="1月28日"/>
          <s v="1月29日"/>
          <s v="1月30日"/>
          <s v="1月31日"/>
          <s v="2月1日"/>
          <s v="2月2日"/>
          <s v="2月3日"/>
          <s v="2月4日"/>
          <s v="2月5日"/>
          <s v="2月6日"/>
          <s v="2月7日"/>
          <s v="2月8日"/>
          <s v="2月9日"/>
          <s v="2月10日"/>
          <s v="2月11日"/>
          <s v="2月12日"/>
          <s v="2月13日"/>
          <s v="2月14日"/>
          <s v="2月15日"/>
          <s v="2月16日"/>
          <s v="2月17日"/>
          <s v="2月18日"/>
          <s v="2月19日"/>
          <s v="2月20日"/>
          <s v="2月21日"/>
          <s v="2月22日"/>
          <s v="2月23日"/>
          <s v="2月24日"/>
          <s v="2月25日"/>
          <s v="2月26日"/>
          <s v="2月27日"/>
          <s v="2月28日"/>
          <s v="2月29日"/>
          <s v="3月1日"/>
          <s v="3月2日"/>
          <s v="3月3日"/>
          <s v="3月4日"/>
          <s v="3月5日"/>
          <s v="3月6日"/>
          <s v="3月7日"/>
          <s v="3月8日"/>
          <s v="3月9日"/>
          <s v="3月10日"/>
          <s v="3月11日"/>
          <s v="3月12日"/>
          <s v="3月13日"/>
          <s v="3月14日"/>
          <s v="3月15日"/>
          <s v="3月16日"/>
          <s v="3月17日"/>
          <s v="3月18日"/>
          <s v="3月19日"/>
          <s v="3月20日"/>
          <s v="3月21日"/>
          <s v="3月22日"/>
          <s v="3月23日"/>
          <s v="3月24日"/>
          <s v="3月25日"/>
          <s v="3月26日"/>
          <s v="3月27日"/>
          <s v="3月28日"/>
          <s v="3月29日"/>
          <s v="3月30日"/>
          <s v="3月31日"/>
          <s v="4月1日"/>
          <s v="4月2日"/>
          <s v="4月3日"/>
          <s v="4月4日"/>
          <s v="4月5日"/>
          <s v="4月6日"/>
          <s v="4月7日"/>
          <s v="4月8日"/>
          <s v="4月9日"/>
          <s v="4月10日"/>
          <s v="4月11日"/>
          <s v="4月12日"/>
          <s v="4月13日"/>
          <s v="4月14日"/>
          <s v="4月15日"/>
          <s v="4月16日"/>
          <s v="4月17日"/>
          <s v="4月18日"/>
          <s v="4月19日"/>
          <s v="4月20日"/>
          <s v="4月21日"/>
          <s v="4月22日"/>
          <s v="4月23日"/>
          <s v="4月24日"/>
          <s v="4月25日"/>
          <s v="4月26日"/>
          <s v="4月27日"/>
          <s v="4月28日"/>
          <s v="4月29日"/>
          <s v="4月30日"/>
          <s v="5月1日"/>
          <s v="5月2日"/>
          <s v="5月3日"/>
          <s v="5月4日"/>
          <s v="5月5日"/>
          <s v="5月6日"/>
          <s v="5月7日"/>
          <s v="5月8日"/>
          <s v="5月9日"/>
          <s v="5月10日"/>
          <s v="5月11日"/>
          <s v="5月12日"/>
          <s v="5月13日"/>
          <s v="5月14日"/>
          <s v="5月15日"/>
          <s v="5月16日"/>
          <s v="5月17日"/>
          <s v="5月18日"/>
          <s v="5月19日"/>
          <s v="5月20日"/>
          <s v="5月21日"/>
          <s v="5月22日"/>
          <s v="5月23日"/>
          <s v="5月24日"/>
          <s v="5月25日"/>
          <s v="5月26日"/>
          <s v="5月27日"/>
          <s v="5月28日"/>
          <s v="5月29日"/>
          <s v="5月30日"/>
          <s v="5月31日"/>
          <s v="6月1日"/>
          <s v="6月2日"/>
          <s v="6月3日"/>
          <s v="6月4日"/>
          <s v="6月5日"/>
          <s v="6月6日"/>
          <s v="6月7日"/>
          <s v="6月8日"/>
          <s v="6月9日"/>
          <s v="6月10日"/>
          <s v="6月11日"/>
          <s v="6月12日"/>
          <s v="6月13日"/>
          <s v="6月14日"/>
          <s v="6月15日"/>
          <s v="6月16日"/>
          <s v="6月17日"/>
          <s v="6月18日"/>
          <s v="6月19日"/>
          <s v="6月20日"/>
          <s v="6月21日"/>
          <s v="6月22日"/>
          <s v="6月23日"/>
          <s v="6月24日"/>
          <s v="6月25日"/>
          <s v="6月26日"/>
          <s v="6月27日"/>
          <s v="6月28日"/>
          <s v="6月29日"/>
          <s v="6月30日"/>
          <s v="7月1日"/>
          <s v="7月2日"/>
          <s v="7月3日"/>
          <s v="7月4日"/>
          <s v="7月5日"/>
          <s v="7月6日"/>
          <s v="7月7日"/>
          <s v="7月8日"/>
          <s v="7月9日"/>
          <s v="7月10日"/>
          <s v="7月11日"/>
          <s v="7月12日"/>
          <s v="7月13日"/>
          <s v="7月14日"/>
          <s v="7月15日"/>
          <s v="7月16日"/>
          <s v="7月17日"/>
          <s v="7月18日"/>
          <s v="7月19日"/>
          <s v="7月20日"/>
          <s v="7月21日"/>
          <s v="7月22日"/>
          <s v="7月23日"/>
          <s v="7月24日"/>
          <s v="7月25日"/>
          <s v="7月26日"/>
          <s v="7月27日"/>
          <s v="7月28日"/>
          <s v="7月29日"/>
          <s v="7月30日"/>
          <s v="7月31日"/>
          <s v="8月1日"/>
          <s v="8月2日"/>
          <s v="8月3日"/>
          <s v="8月4日"/>
          <s v="8月5日"/>
          <s v="8月6日"/>
          <s v="8月7日"/>
          <s v="8月8日"/>
          <s v="8月9日"/>
          <s v="8月10日"/>
          <s v="8月11日"/>
          <s v="8月12日"/>
          <s v="8月13日"/>
          <s v="8月14日"/>
          <s v="8月15日"/>
          <s v="8月16日"/>
          <s v="8月17日"/>
          <s v="8月18日"/>
          <s v="8月19日"/>
          <s v="8月20日"/>
          <s v="8月21日"/>
          <s v="8月22日"/>
          <s v="8月23日"/>
          <s v="8月24日"/>
          <s v="8月25日"/>
          <s v="8月26日"/>
          <s v="8月27日"/>
          <s v="8月28日"/>
          <s v="8月29日"/>
          <s v="8月30日"/>
          <s v="8月31日"/>
          <s v="9月1日"/>
          <s v="9月2日"/>
          <s v="9月3日"/>
          <s v="9月4日"/>
          <s v="9月5日"/>
          <s v="9月6日"/>
          <s v="9月7日"/>
          <s v="9月8日"/>
          <s v="9月9日"/>
          <s v="9月10日"/>
          <s v="9月11日"/>
          <s v="9月12日"/>
          <s v="9月13日"/>
          <s v="9月14日"/>
          <s v="9月15日"/>
          <s v="9月16日"/>
          <s v="9月17日"/>
          <s v="9月18日"/>
          <s v="9月19日"/>
          <s v="9月20日"/>
          <s v="9月21日"/>
          <s v="9月22日"/>
          <s v="9月23日"/>
          <s v="9月24日"/>
          <s v="9月25日"/>
          <s v="9月26日"/>
          <s v="9月27日"/>
          <s v="9月28日"/>
          <s v="9月29日"/>
          <s v="9月30日"/>
          <s v="10月1日"/>
          <s v="10月2日"/>
          <s v="10月3日"/>
          <s v="10月4日"/>
          <s v="10月5日"/>
          <s v="10月6日"/>
          <s v="10月7日"/>
          <s v="10月8日"/>
          <s v="10月9日"/>
          <s v="10月10日"/>
          <s v="10月11日"/>
          <s v="10月12日"/>
          <s v="10月13日"/>
          <s v="10月14日"/>
          <s v="10月15日"/>
          <s v="10月16日"/>
          <s v="10月17日"/>
          <s v="10月18日"/>
          <s v="10月19日"/>
          <s v="10月20日"/>
          <s v="10月21日"/>
          <s v="10月22日"/>
          <s v="10月23日"/>
          <s v="10月24日"/>
          <s v="10月25日"/>
          <s v="10月26日"/>
          <s v="10月27日"/>
          <s v="10月28日"/>
          <s v="10月29日"/>
          <s v="10月30日"/>
          <s v="10月31日"/>
          <s v="11月1日"/>
          <s v="11月2日"/>
          <s v="11月3日"/>
          <s v="11月4日"/>
          <s v="11月5日"/>
          <s v="11月6日"/>
          <s v="11月7日"/>
          <s v="11月8日"/>
          <s v="11月9日"/>
          <s v="11月10日"/>
          <s v="11月11日"/>
          <s v="11月12日"/>
          <s v="11月13日"/>
          <s v="11月14日"/>
          <s v="11月15日"/>
          <s v="11月16日"/>
          <s v="11月17日"/>
          <s v="11月18日"/>
          <s v="11月19日"/>
          <s v="11月20日"/>
          <s v="11月21日"/>
          <s v="11月22日"/>
          <s v="11月23日"/>
          <s v="11月24日"/>
          <s v="11月25日"/>
          <s v="11月26日"/>
          <s v="11月27日"/>
          <s v="11月28日"/>
          <s v="11月29日"/>
          <s v="11月30日"/>
          <s v="12月1日"/>
          <s v="12月2日"/>
          <s v="12月3日"/>
          <s v="12月4日"/>
          <s v="12月5日"/>
          <s v="12月6日"/>
          <s v="12月7日"/>
          <s v="12月8日"/>
          <s v="12月9日"/>
          <s v="12月10日"/>
          <s v="12月11日"/>
          <s v="12月12日"/>
          <s v="12月13日"/>
          <s v="12月14日"/>
          <s v="12月15日"/>
          <s v="12月16日"/>
          <s v="12月17日"/>
          <s v="12月18日"/>
          <s v="12月19日"/>
          <s v="12月20日"/>
          <s v="12月21日"/>
          <s v="12月22日"/>
          <s v="12月23日"/>
          <s v="12月24日"/>
          <s v="12月25日"/>
          <s v="12月26日"/>
          <s v="12月27日"/>
          <s v="12月28日"/>
          <s v="12月29日"/>
          <s v="12月30日"/>
          <s v="12月31日"/>
          <s v="&gt;2024/12/8"/>
        </groupItems>
      </fieldGroup>
    </cacheField>
    <cacheField name="燃料別" numFmtId="0">
      <sharedItems containsBlank="1" count="4">
        <s v="Ａ重油"/>
        <s v="灯油"/>
        <s v="ＬＰガス"/>
        <m/>
      </sharedItems>
    </cacheField>
    <cacheField name="購入数量" numFmtId="3">
      <sharedItems containsString="0" containsBlank="1" containsNumber="1" containsInteger="1" minValue="500" maxValue="3000"/>
    </cacheField>
    <cacheField name="伝票No." numFmtId="186">
      <sharedItems containsSemiMixedTypes="0" containsString="0" containsNumber="1" containsInteger="1" minValue="0" maxValue="3" count="4">
        <n v="1"/>
        <n v="2"/>
        <n v="3"/>
        <n v="0"/>
      </sharedItems>
    </cacheField>
    <cacheField name="月" numFmtId="0" databaseField="0">
      <fieldGroup base="2">
        <rangePr groupBy="months" startDate="2024-10-01T00:00:00" endDate="2024-12-08T00:00:00"/>
        <groupItems count="14">
          <s v="&lt;2024/10/1"/>
          <s v="1月"/>
          <s v="2月"/>
          <s v="3月"/>
          <s v="4月"/>
          <s v="5月"/>
          <s v="6月"/>
          <s v="7月"/>
          <s v="8月"/>
          <s v="9月"/>
          <s v="10月"/>
          <s v="11月"/>
          <s v="12月"/>
          <s v="&gt;2024/12/8"/>
        </groupItems>
      </fieldGroup>
    </cacheField>
  </cacheFields>
  <extLst>
    <ext xmlns:x14="http://schemas.microsoft.com/office/spreadsheetml/2009/9/main" uri="{725AE2AE-9491-48be-B2B4-4EB974FC3084}">
      <x14:pivotCacheDefinition pivotCacheId="28693692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x v="0"/>
    <x v="0"/>
    <x v="0"/>
    <n v="1000"/>
    <x v="0"/>
  </r>
  <r>
    <x v="0"/>
    <x v="0"/>
    <x v="1"/>
    <x v="0"/>
    <n v="2000"/>
    <x v="1"/>
  </r>
  <r>
    <x v="0"/>
    <x v="0"/>
    <x v="1"/>
    <x v="1"/>
    <n v="1000"/>
    <x v="2"/>
  </r>
  <r>
    <x v="0"/>
    <x v="1"/>
    <x v="2"/>
    <x v="0"/>
    <n v="1000"/>
    <x v="0"/>
  </r>
  <r>
    <x v="0"/>
    <x v="1"/>
    <x v="3"/>
    <x v="1"/>
    <n v="500"/>
    <x v="1"/>
  </r>
  <r>
    <x v="0"/>
    <x v="1"/>
    <x v="2"/>
    <x v="2"/>
    <n v="3000"/>
    <x v="2"/>
  </r>
  <r>
    <x v="1"/>
    <x v="0"/>
    <x v="4"/>
    <x v="0"/>
    <n v="1500"/>
    <x v="0"/>
  </r>
  <r>
    <x v="1"/>
    <x v="0"/>
    <x v="5"/>
    <x v="0"/>
    <n v="2500"/>
    <x v="1"/>
  </r>
  <r>
    <x v="2"/>
    <x v="2"/>
    <x v="6"/>
    <x v="0"/>
    <n v="1000"/>
    <x v="0"/>
  </r>
  <r>
    <x v="2"/>
    <x v="3"/>
    <x v="7"/>
    <x v="0"/>
    <n v="1000"/>
    <x v="0"/>
  </r>
  <r>
    <x v="3"/>
    <x v="4"/>
    <x v="8"/>
    <x v="3"/>
    <m/>
    <x v="3"/>
  </r>
  <r>
    <x v="3"/>
    <x v="4"/>
    <x v="8"/>
    <x v="3"/>
    <m/>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7A72072-1ABA-4E51-9B94-2AED06C869C0}" name="ピボットテーブル2"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rowHeaderCaption="氏名・伝票No." colHeaderCaption="">
  <location ref="A3:E15" firstHeaderRow="1" firstDataRow="2" firstDataCol="1" rowPageCount="1" colPageCount="1"/>
  <pivotFields count="7">
    <pivotField axis="axisPage" showAll="0">
      <items count="5">
        <item x="0"/>
        <item x="1"/>
        <item x="2"/>
        <item x="3"/>
        <item t="default"/>
      </items>
    </pivotField>
    <pivotField axis="axisRow" showAll="0">
      <items count="6">
        <item x="0"/>
        <item x="1"/>
        <item x="4"/>
        <item x="2"/>
        <item x="3"/>
        <item t="default"/>
      </items>
    </pivotField>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Col" showAll="0">
      <items count="5">
        <item x="0"/>
        <item x="2"/>
        <item x="1"/>
        <item x="3"/>
        <item t="default"/>
      </items>
    </pivotField>
    <pivotField dataField="1" showAll="0"/>
    <pivotField axis="axisRow" numFmtId="186" showAll="0">
      <items count="5">
        <item x="3"/>
        <item x="0"/>
        <item x="1"/>
        <item x="2"/>
        <item t="default"/>
      </items>
    </pivotField>
    <pivotField axis="axisRow" showAll="0" defaultSubtotal="0">
      <items count="14">
        <item x="0"/>
        <item x="1"/>
        <item x="2"/>
        <item x="3"/>
        <item x="4"/>
        <item x="5"/>
        <item x="6"/>
        <item x="7"/>
        <item x="8"/>
        <item x="9"/>
        <item x="10"/>
        <item x="11"/>
        <item x="12"/>
        <item x="13"/>
      </items>
    </pivotField>
  </pivotFields>
  <rowFields count="3">
    <field x="1"/>
    <field x="6"/>
    <field x="5"/>
  </rowFields>
  <rowItems count="11">
    <i>
      <x/>
    </i>
    <i r="1">
      <x v="10"/>
    </i>
    <i r="2">
      <x v="1"/>
    </i>
    <i r="2">
      <x v="2"/>
    </i>
    <i r="2">
      <x v="3"/>
    </i>
    <i>
      <x v="1"/>
    </i>
    <i r="1">
      <x v="10"/>
    </i>
    <i r="2">
      <x v="1"/>
    </i>
    <i r="2">
      <x v="2"/>
    </i>
    <i r="2">
      <x v="3"/>
    </i>
    <i t="grand">
      <x/>
    </i>
  </rowItems>
  <colFields count="1">
    <field x="3"/>
  </colFields>
  <colItems count="4">
    <i>
      <x/>
    </i>
    <i>
      <x v="1"/>
    </i>
    <i>
      <x v="2"/>
    </i>
    <i t="grand">
      <x/>
    </i>
  </colItems>
  <pageFields count="1">
    <pageField fld="0" item="0" hier="-1"/>
  </pageFields>
  <dataFields count="1">
    <dataField name="購入実績集計表" fld="4" baseField="0" baseItem="0" numFmtId="3"/>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対象月2" xr10:uid="{E99D82A4-AB6B-41E4-BA32-84B0975B858B}" sourceName="対象月">
  <pivotTables>
    <pivotTable tabId="21" name="ピボットテーブル2"/>
  </pivotTables>
  <data>
    <tabular pivotCacheId="286936929">
      <items count="4">
        <i x="0" s="1"/>
        <i x="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氏名" xr10:uid="{E3B7144A-D725-48BB-8F60-6534BA6A106F}" sourceName="氏名">
  <pivotTables>
    <pivotTable tabId="21" name="ピボットテーブル2"/>
  </pivotTables>
  <data>
    <tabular pivotCacheId="286936929">
      <items count="5">
        <i x="0" s="1"/>
        <i x="1" s="1"/>
        <i x="2" s="1" nd="1"/>
        <i x="3" s="1" nd="1"/>
        <i x="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対象月 2" xr10:uid="{9BD42B07-4A4D-43A8-90CF-23824FAC916D}" cache="スライサー_対象月2" caption="対象月" rowHeight="247650"/>
  <slicer name="氏名" xr10:uid="{2777318D-D8D5-4D2D-92B6-943F6DF345AB}" cache="スライサー_氏名" caption="氏名"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C36304-782B-413B-A2BF-C5EF02367AB9}" name="管理シート" displayName="管理シート" ref="A13:DG55" totalsRowCount="1" headerRowDxfId="243" dataDxfId="242" totalsRowDxfId="240" tableBorderDxfId="241" headerRowCellStyle="桁区切り" dataCellStyle="桁区切り">
  <tableColumns count="111">
    <tableColumn id="1" xr3:uid="{5AE5E45F-5817-4776-AB35-9C20D0BA8FCC}" name="協議会" totalsRowLabel="集計" dataDxfId="239" totalsRowDxfId="238"/>
    <tableColumn id="2" xr3:uid="{EE8340AE-658C-46D9-9D2B-E60FCA8A37A5}" name="団体No" dataDxfId="237" totalsRowDxfId="236"/>
    <tableColumn id="3" xr3:uid="{37DF2695-B9F3-4696-A30C-B121B3D4E0E7}" name="支援対象者名" dataDxfId="235" totalsRowDxfId="234"/>
    <tableColumn id="4" xr3:uid="{AFF2D15B-37B9-4845-A385-B700A1FF1EA6}" name="代表者" dataDxfId="233" totalsRowDxfId="232"/>
    <tableColumn id="5" xr3:uid="{4DA2140A-40CE-49D7-B3C4-692F16EDF44C}" name="郵便番号" dataDxfId="231" totalsRowDxfId="230"/>
    <tableColumn id="6" xr3:uid="{3F8CCEE6-200B-4D3C-BBCC-A233EE9D21A3}" name="住所" dataDxfId="229" totalsRowDxfId="228"/>
    <tableColumn id="7" xr3:uid="{F2821265-C8AE-41BF-976C-9F245EC87BB8}" name="推進計画期間" dataDxfId="227" totalsRowDxfId="226"/>
    <tableColumn id="8" xr3:uid="{4CFDA52C-F851-4670-B4AA-506A9194DF3C}" name="対象期間" dataDxfId="225" totalsRowDxfId="224"/>
    <tableColumn id="9" xr3:uid="{AD25910D-F6D9-4774-8DD1-262817A4CF2E}" name="農家No" totalsRowFunction="countNums" dataDxfId="223" totalsRowDxfId="222"/>
    <tableColumn id="10" xr3:uid="{C3F16DE3-83FD-41AA-94BE-33FAD8C21DA7}" name="追加" dataDxfId="221" totalsRowDxfId="220"/>
    <tableColumn id="11" xr3:uid="{F72F846B-9AC5-4102-A24F-F72B77CEBF42}" name="氏名" totalsRowFunction="count" dataDxfId="219" totalsRowDxfId="218"/>
    <tableColumn id="12" xr3:uid="{EB0AE2AC-568E-45B2-8612-BCBEA6509144}" name="住所2" dataDxfId="217" totalsRowDxfId="216"/>
    <tableColumn id="111" xr3:uid="{31AEC350-2C52-45A9-A4C4-8D3C82AF1761}" name="省エネ特例" totalsRowFunction="count" dataDxfId="215" totalsRowDxfId="214"/>
    <tableColumn id="13" xr3:uid="{7F7769EF-3AEA-4261-A7A1-BD6564DEB264}" name="コース" dataDxfId="213" totalsRowDxfId="212" dataCellStyle="パーセント"/>
    <tableColumn id="14" xr3:uid="{984E97D6-0E53-4626-BDC7-4ECAF0A9E16E}" name="燃料別" dataDxfId="211" totalsRowDxfId="210"/>
    <tableColumn id="15" xr3:uid="{55C835E2-E410-4DA2-B750-6A16114AAF1E}" name="購入予定数量" totalsRowFunction="sum" dataDxfId="209" totalsRowDxfId="208" dataCellStyle="桁区切り"/>
    <tableColumn id="16" xr3:uid="{5128D629-341A-4B9A-B767-D95BED77C7A7}" name="R7積立金" totalsRowFunction="sum" dataDxfId="207" totalsRowDxfId="206" dataCellStyle="桁区切り"/>
    <tableColumn id="17" xr3:uid="{5205DDA0-B6A3-49C1-AC24-924EAFBB445A}" name="R6末残高" totalsRowFunction="sum" dataDxfId="205" totalsRowDxfId="204" dataCellStyle="桁区切り"/>
    <tableColumn id="18" xr3:uid="{D365171D-34FB-4D08-94D9-417E8F188E0B}" name="積立必要額" totalsRowFunction="sum" dataDxfId="203" totalsRowDxfId="202" dataCellStyle="桁区切り">
      <calculatedColumnFormula>Q14-R14</calculatedColumnFormula>
    </tableColumn>
    <tableColumn id="19" xr3:uid="{82B125C8-87C5-4F87-951E-BCB15CD3E698}" name="第1回納付" totalsRowFunction="sum" dataDxfId="201" totalsRowDxfId="200" dataCellStyle="桁区切り"/>
    <tableColumn id="20" xr3:uid="{CCF9A172-5B71-4B71-8001-2B2E70EE8C86}" name="納付日" totalsRowFunction="sum" dataDxfId="199" totalsRowDxfId="198" dataCellStyle="桁区切り"/>
    <tableColumn id="21" xr3:uid="{B2E834B9-A026-42CC-B6D3-4E98D580FA4E}" name="第2回納付" totalsRowFunction="sum" dataDxfId="197" totalsRowDxfId="196" dataCellStyle="桁区切り">
      <calculatedColumnFormula>Q14-T14-R14</calculatedColumnFormula>
    </tableColumn>
    <tableColumn id="22" xr3:uid="{EBDEB84A-2D72-4AEB-B8B0-7F5528FBBC76}" name="納付日2" totalsRowFunction="sum" dataDxfId="195" totalsRowDxfId="194" dataCellStyle="桁区切り"/>
    <tableColumn id="23" xr3:uid="{8B83A39D-2DDC-4148-8DE3-3CFA65633BB6}" name="納付額合計" totalsRowFunction="sum" dataDxfId="193" totalsRowDxfId="192" dataCellStyle="桁区切り">
      <calculatedColumnFormula>R14+T14+V14</calculatedColumnFormula>
    </tableColumn>
    <tableColumn id="24" xr3:uid="{DAD7D5C5-EC34-411A-B734-7506B793E019}" name="補助金見込" totalsRowFunction="sum" dataDxfId="191" totalsRowDxfId="190" dataCellStyle="桁区切り">
      <calculatedColumnFormula>Q14</calculatedColumnFormula>
    </tableColumn>
    <tableColumn id="25" xr3:uid="{B3C5C006-C002-4EC4-9D7B-05E5AFBA61A5}" name="現在" totalsRowFunction="sum" dataDxfId="189" totalsRowDxfId="188" dataCellStyle="桁区切り"/>
    <tableColumn id="26" xr3:uid="{A0B3D372-E850-43BF-8B1F-3C80CE301978}" name="目標" totalsRowFunction="sum" dataDxfId="187" totalsRowDxfId="186" dataCellStyle="桁区切り"/>
    <tableColumn id="27" xr3:uid="{87703E0C-F228-4909-B746-38F4CF84782F}" name="A重油" totalsRowFunction="sum" dataDxfId="185" totalsRowDxfId="184" dataCellStyle="桁区切り"/>
    <tableColumn id="28" xr3:uid="{70CC75BF-71F0-47F5-B5A2-E3B9F83CB37A}" name="灯油" totalsRowFunction="sum" dataDxfId="183" totalsRowDxfId="182" dataCellStyle="桁区切り"/>
    <tableColumn id="29" xr3:uid="{CB86CBD8-25A7-4690-AEAB-2CBC198781C4}" name="LP" totalsRowFunction="sum" dataDxfId="181" totalsRowDxfId="180" dataCellStyle="桁区切り"/>
    <tableColumn id="30" xr3:uid="{15CE0154-DA16-44A5-8627-66FFF6FD3AD6}" name="LNG" totalsRowFunction="sum" dataDxfId="179" totalsRowDxfId="178" dataCellStyle="桁区切り"/>
    <tableColumn id="31" xr3:uid="{56AED3C0-B624-481E-909B-690ABCE3CD48}" name="現在2" totalsRowFunction="sum" dataDxfId="177" totalsRowDxfId="176" dataCellStyle="桁区切り"/>
    <tableColumn id="32" xr3:uid="{91881FC1-4F3F-4F44-8C46-1F88D5C092FD}" name="A重油換算" totalsRowFunction="sum" dataDxfId="175" totalsRowDxfId="174" dataCellStyle="桁区切り">
      <calculatedColumnFormula>ROUND(IF($O14="Ａ重油",AF14*1,IF($O14="灯油",AF14*0.939,IF($O14="ＬＰガス",AF14*1.299,IF($O14="ＬＮＧ",AF14*1.56)))),0)</calculatedColumnFormula>
    </tableColumn>
    <tableColumn id="33" xr3:uid="{D20FFA37-9020-4623-BD43-2D1AF2A62067}" name="目標2" totalsRowFunction="sum" dataDxfId="173" totalsRowDxfId="172" dataCellStyle="桁区切り"/>
    <tableColumn id="34" xr3:uid="{2A145ACF-1EE5-450F-9B95-952366781F56}" name="A重油換算2" totalsRowFunction="sum" dataDxfId="171" totalsRowDxfId="170" dataCellStyle="桁区切り">
      <calculatedColumnFormula>ROUND(IF($O14="Ａ重油",AH14*1,IF($O14="灯油",AH14*0.939,IF($O14="ＬＰガス",AH14*1.299,IF($O14="ＬＮＧ",AH14*1.56)))),0)</calculatedColumnFormula>
    </tableColumn>
    <tableColumn id="35" xr3:uid="{BFA28E19-252A-4590-B5F9-D6A8B6E14755}" name="品目" totalsRowFunction="sum" dataDxfId="169" totalsRowDxfId="168" dataCellStyle="桁区切り"/>
    <tableColumn id="36" xr3:uid="{1C1C6BE8-3D85-4BF6-95BE-2B7A41F6FEB4}" name="現在(kg)" totalsRowFunction="sum" dataDxfId="167" totalsRowDxfId="166" dataCellStyle="桁区切り"/>
    <tableColumn id="37" xr3:uid="{B8CDE2D5-3034-4A8D-AEA0-4B71731DC8AA}" name="目標(kg)" totalsRowFunction="sum" dataDxfId="165" totalsRowDxfId="164" dataCellStyle="桁区切り"/>
    <tableColumn id="38" xr3:uid="{6C8C4CF4-5776-4662-8CCF-6622E1E935F7}" name="ヒ済台数" totalsRowFunction="sum" dataDxfId="163" totalsRowDxfId="162" dataCellStyle="桁区切り"/>
    <tableColumn id="39" xr3:uid="{67697C1B-CA3B-4E4B-BB36-BB8DED5642FB}" name="温室面積" totalsRowFunction="sum" dataDxfId="161" totalsRowDxfId="160" dataCellStyle="桁区切り"/>
    <tableColumn id="40" xr3:uid="{CEFCF565-96AD-415B-918B-C99333FB05B1}" name="ヒ予定台数" totalsRowFunction="sum" dataDxfId="159" totalsRowDxfId="158" dataCellStyle="桁区切り"/>
    <tableColumn id="41" xr3:uid="{D6CB1C6F-267C-4315-AF8C-2D32A4508381}" name="事業年度" totalsRowFunction="sum" dataDxfId="157" totalsRowDxfId="156" dataCellStyle="桁区切り"/>
    <tableColumn id="42" xr3:uid="{66596604-C67C-4BB2-801D-78459A34631F}" name="温室面積2" totalsRowFunction="sum" dataDxfId="155" totalsRowDxfId="154" dataCellStyle="桁区切り"/>
    <tableColumn id="43" xr3:uid="{E5945D9E-087E-4769-B433-A77F2FAD1535}" name="ガス済台数" totalsRowFunction="sum" dataDxfId="153" totalsRowDxfId="152" dataCellStyle="桁区切り"/>
    <tableColumn id="44" xr3:uid="{24F4208B-9136-45E1-A415-45F6E26FA01B}" name="温室面積3" totalsRowFunction="sum" dataDxfId="151" totalsRowDxfId="150" dataCellStyle="桁区切り"/>
    <tableColumn id="45" xr3:uid="{4724DDE9-75D4-418E-907D-1F8097942B55}" name="ガス予定台数" totalsRowFunction="sum" dataDxfId="149" totalsRowDxfId="148" dataCellStyle="桁区切り"/>
    <tableColumn id="46" xr3:uid="{03477DD0-2879-49B4-9957-A4B56EC1EFE3}" name="事業年度2" totalsRowFunction="sum" dataDxfId="147" totalsRowDxfId="146" dataCellStyle="桁区切り"/>
    <tableColumn id="47" xr3:uid="{1B798692-0509-42C3-A9AB-F59249E8EA27}" name="温室面積4" totalsRowFunction="sum" dataDxfId="145" totalsRowDxfId="144" dataCellStyle="桁区切り"/>
    <tableColumn id="48" xr3:uid="{EA0E0B3C-109C-4FA3-9A4D-95968D1D2F6D}" name="設備名" totalsRowFunction="sum" dataDxfId="143" totalsRowDxfId="142" dataCellStyle="桁区切り"/>
    <tableColumn id="49" xr3:uid="{38D0BAA7-CFC3-4855-8C23-6A227818E59D}" name="台数" totalsRowFunction="sum" dataDxfId="141" totalsRowDxfId="140" dataCellStyle="桁区切り"/>
    <tableColumn id="50" xr3:uid="{91097ADF-863E-4826-8469-2E0371E640F6}" name="事業年度3" totalsRowFunction="sum" dataDxfId="139" totalsRowDxfId="138" dataCellStyle="桁区切り"/>
    <tableColumn id="51" xr3:uid="{C8BBDB33-437D-4C94-8EA4-AACE463C6FEA}" name="温室面積5" totalsRowFunction="sum" dataDxfId="137" totalsRowDxfId="136" dataCellStyle="桁区切り"/>
    <tableColumn id="52" xr3:uid="{1E79C05C-8FBB-46FF-9635-AFC9599089C4}" name="7年7月～9月使用量" totalsRowFunction="sum" dataDxfId="135" totalsRowDxfId="134" dataCellStyle="桁区切り"/>
    <tableColumn id="53" xr3:uid="{38B0C6DF-CA8B-4856-B026-9177E6A1DE52}" name="10月単価" dataDxfId="133" totalsRowDxfId="132">
      <calculatedColumnFormula>VLOOKUP($O14,$BE$4:$BF$7,2,0)</calculatedColumnFormula>
    </tableColumn>
    <tableColumn id="54" xr3:uid="{C51B9FE7-E0AF-4C72-9C57-BE39F5085765}" name="10月購入実績" totalsRowFunction="sum" dataDxfId="131" totalsRowDxfId="130">
      <calculatedColumnFormula>SUMIFS(購入実績入力シート[購入数量],購入実績入力シート[対象月],'管理シート（本体）'!BB$8,購入実績入力シート[氏名],管理シート[[#This Row],[氏名]],購入実績入力シート[燃料別],管理シート[[#This Row],[燃料別]])</calculatedColumnFormula>
    </tableColumn>
    <tableColumn id="55" xr3:uid="{534FF313-0671-49D6-8993-D7F5DA4A5A8C}" name="10月補填対象" totalsRowFunction="sum" dataDxfId="129" totalsRowDxfId="128">
      <calculatedColumnFormula>VLOOKUP($O14,BE$4:BG$7,3,0)*BC14</calculatedColumnFormula>
    </tableColumn>
    <tableColumn id="56" xr3:uid="{0AB1E79D-F412-4943-9784-114A206ADB9C}" name="10月補填金額" totalsRowFunction="sum" dataDxfId="127" totalsRowDxfId="126" dataCellStyle="桁区切り">
      <calculatedColumnFormula>SUM(BF14:BG14)</calculatedColumnFormula>
    </tableColumn>
    <tableColumn id="57" xr3:uid="{716DD4A2-ED33-4982-A38B-E93493370216}" name="10月積立金" totalsRowFunction="sum" dataDxfId="125" totalsRowDxfId="124" dataCellStyle="桁区切り">
      <calculatedColumnFormula>ROUNDDOWN(BB14*BD14*1/2,0)</calculatedColumnFormula>
    </tableColumn>
    <tableColumn id="58" xr3:uid="{365D33BC-5934-49C2-87CE-5AA3AAEA7CA0}" name="10月補填金" totalsRowFunction="sum" dataDxfId="123" totalsRowDxfId="122" dataCellStyle="桁区切り">
      <calculatedColumnFormula>ROUNDDOWN(BB14*BD14*1/2,0)</calculatedColumnFormula>
    </tableColumn>
    <tableColumn id="59" xr3:uid="{119B41D7-1618-4AE1-902A-45CF86503777}" name="11月単価" dataDxfId="121" totalsRowDxfId="120">
      <calculatedColumnFormula>VLOOKUP($O14,$BK$4:$BL$7,2,0)</calculatedColumnFormula>
    </tableColumn>
    <tableColumn id="60" xr3:uid="{B10A4641-A051-4906-9993-E1EDB7663E4B}" name="11月購入実績" totalsRowFunction="sum" dataDxfId="119" totalsRowDxfId="118" dataCellStyle="桁区切り">
      <calculatedColumnFormula>SUMIFS(購入実績入力シート[購入数量],購入実績入力シート[対象月],'管理シート（本体）'!BH$8,購入実績入力シート[氏名],管理シート[[#This Row],[氏名]],購入実績入力シート[燃料別],管理シート[[#This Row],[燃料別]])</calculatedColumnFormula>
    </tableColumn>
    <tableColumn id="61" xr3:uid="{FFD6BE75-2527-4F0B-82B1-35601DBB1AD9}" name="11月補填対象" totalsRowFunction="sum" dataDxfId="117" totalsRowDxfId="116">
      <calculatedColumnFormula>VLOOKUP($O14,BK$4:BM$7,3,0)*BI14</calculatedColumnFormula>
    </tableColumn>
    <tableColumn id="62" xr3:uid="{F0D44D6D-C82F-45ED-96D6-A6898E09505B}" name="11月補填金額" totalsRowFunction="sum" dataDxfId="115" totalsRowDxfId="114" dataCellStyle="桁区切り"/>
    <tableColumn id="63" xr3:uid="{AD7EE1C7-9605-4992-9D06-9D67124E6802}" name="11月積立金" totalsRowFunction="sum" dataDxfId="113" totalsRowDxfId="112" dataCellStyle="桁区切り">
      <calculatedColumnFormula>ROUNDDOWN(BH14*BJ14*1/2,0)</calculatedColumnFormula>
    </tableColumn>
    <tableColumn id="64" xr3:uid="{8BD58846-5AB6-49C7-9C06-80841831D704}" name="11月補填金" totalsRowFunction="sum" dataDxfId="111" totalsRowDxfId="110" dataCellStyle="桁区切り">
      <calculatedColumnFormula>ROUNDDOWN(BH14*BJ14*1/2,0)</calculatedColumnFormula>
    </tableColumn>
    <tableColumn id="65" xr3:uid="{4E22C9B4-914A-4BBB-A95E-EB9A2A97D568}" name="12月単価2" dataDxfId="109" totalsRowDxfId="108">
      <calculatedColumnFormula>VLOOKUP($O14,$BQ$4:$BR$7,2,0)</calculatedColumnFormula>
    </tableColumn>
    <tableColumn id="66" xr3:uid="{8CBB9C79-8EDC-4D1A-AFC6-D7365B3D2037}" name="12月購入実績3" totalsRowFunction="sum" dataDxfId="107" totalsRowDxfId="106" dataCellStyle="桁区切り">
      <calculatedColumnFormula>SUMIFS(購入実績入力シート[購入数量],購入実績入力シート[対象月],'管理シート（本体）'!BN$8,購入実績入力シート[氏名],管理シート[[#This Row],[氏名]],購入実績入力シート[燃料別],管理シート[[#This Row],[燃料別]])</calculatedColumnFormula>
    </tableColumn>
    <tableColumn id="67" xr3:uid="{80F81881-6F98-4F90-BA1C-61FFCD4245DB}" name="12月補填対象4" totalsRowFunction="sum" dataDxfId="105" totalsRowDxfId="104">
      <calculatedColumnFormula>VLOOKUP($O14,BQ$4:BS$7,3,0)*BO14</calculatedColumnFormula>
    </tableColumn>
    <tableColumn id="68" xr3:uid="{C2EC0D13-4078-4234-A8CE-001559916164}" name="12月補填金額5" totalsRowFunction="sum" dataDxfId="103" totalsRowDxfId="102" dataCellStyle="桁区切り">
      <calculatedColumnFormula>SUM(BR14:BS14)</calculatedColumnFormula>
    </tableColumn>
    <tableColumn id="69" xr3:uid="{92A66DDC-38AA-4F0A-B4E0-F731A1585180}" name="12月積立金6" totalsRowFunction="sum" dataDxfId="101" totalsRowDxfId="100" dataCellStyle="桁区切り">
      <calculatedColumnFormula>ROUNDDOWN(BN14*BP14*1/2,0)</calculatedColumnFormula>
    </tableColumn>
    <tableColumn id="70" xr3:uid="{AF0B04E3-67F2-4278-BD27-18A2A5BED993}" name="12月補填金7" totalsRowFunction="sum" dataDxfId="99" totalsRowDxfId="98" dataCellStyle="桁区切り">
      <calculatedColumnFormula>ROUNDDOWN(BN14*BP14*1/2,0)</calculatedColumnFormula>
    </tableColumn>
    <tableColumn id="71" xr3:uid="{C25E579F-D066-4842-97DD-8E6884B7BB01}" name="1月単価2" dataDxfId="97" totalsRowDxfId="96">
      <calculatedColumnFormula>VLOOKUP($O14,$BW$4:$BX$7,2,0)</calculatedColumnFormula>
    </tableColumn>
    <tableColumn id="72" xr3:uid="{93D4A82B-CDE5-4520-A91A-FE2CEBF130A6}" name="1月購入実績3" totalsRowFunction="sum" dataDxfId="95" totalsRowDxfId="94" dataCellStyle="桁区切り">
      <calculatedColumnFormula>SUMIFS(購入実績入力シート[購入数量],購入実績入力シート[対象月],'管理シート（本体）'!BT$8,購入実績入力シート[氏名],管理シート[[#This Row],[氏名]],購入実績入力シート[燃料別],管理シート[[#This Row],[燃料別]])</calculatedColumnFormula>
    </tableColumn>
    <tableColumn id="73" xr3:uid="{DD005610-D880-4DD2-8CFD-39C158271D27}" name="1月補填対象4" totalsRowFunction="sum" dataDxfId="93" totalsRowDxfId="92">
      <calculatedColumnFormula>VLOOKUP($O14,BW$4:BY$7,3,0)*BU14</calculatedColumnFormula>
    </tableColumn>
    <tableColumn id="74" xr3:uid="{75BAB6AB-881C-40C6-A294-71522496A543}" name="1月補填金額5" totalsRowFunction="sum" dataDxfId="91" totalsRowDxfId="90" dataCellStyle="桁区切り">
      <calculatedColumnFormula>SUM(BX14:BY14)</calculatedColumnFormula>
    </tableColumn>
    <tableColumn id="75" xr3:uid="{199A62C6-69B3-4152-A514-E47DB103C16D}" name="1月積立金6" totalsRowFunction="sum" dataDxfId="89" totalsRowDxfId="88" dataCellStyle="桁区切り">
      <calculatedColumnFormula>ROUNDDOWN(BT14*BV14*1/2,0)</calculatedColumnFormula>
    </tableColumn>
    <tableColumn id="76" xr3:uid="{D0830BC2-42AF-4DE2-8E5A-5A89B1C9D452}" name="1月補填金7" totalsRowFunction="sum" dataDxfId="87" totalsRowDxfId="86" dataCellStyle="桁区切り">
      <calculatedColumnFormula>ROUNDDOWN(BT14*BV14*1/2,0)</calculatedColumnFormula>
    </tableColumn>
    <tableColumn id="77" xr3:uid="{F9B251B6-3E17-46F7-8877-7D5C46E46D36}" name="2月単価2" dataDxfId="85" totalsRowDxfId="84">
      <calculatedColumnFormula>VLOOKUP($O14,$CC$4:$CD$7,2,0)</calculatedColumnFormula>
    </tableColumn>
    <tableColumn id="78" xr3:uid="{1BC6A893-0A1E-4E94-A9C7-71F088D96532}" name="2月購入実績3" totalsRowFunction="sum" dataDxfId="83" totalsRowDxfId="82" dataCellStyle="桁区切り">
      <calculatedColumnFormula>SUMIFS(購入実績入力シート[購入数量],購入実績入力シート[対象月],'管理シート（本体）'!BZ$8,購入実績入力シート[氏名],管理シート[[#This Row],[氏名]],購入実績入力シート[燃料別],管理シート[[#This Row],[燃料別]])</calculatedColumnFormula>
    </tableColumn>
    <tableColumn id="79" xr3:uid="{A62498B0-96B3-4684-B3AE-5129A72097FE}" name="2月補填対象4" totalsRowFunction="sum" dataDxfId="81" totalsRowDxfId="80">
      <calculatedColumnFormula>VLOOKUP($O14,CC$4:CE$7,3,0)*CA14</calculatedColumnFormula>
    </tableColumn>
    <tableColumn id="80" xr3:uid="{AE4AD75B-0984-4E01-955A-02813D662729}" name="2月補填金額5" totalsRowFunction="sum" dataDxfId="79" totalsRowDxfId="78" dataCellStyle="桁区切り"/>
    <tableColumn id="81" xr3:uid="{E8A23C54-BDC2-48A2-808E-D2DBC6257C21}" name="2月積立金6" totalsRowFunction="sum" dataDxfId="77" totalsRowDxfId="76" dataCellStyle="桁区切り">
      <calculatedColumnFormula>ROUNDDOWN(BZ14*CB14*1/2,0)</calculatedColumnFormula>
    </tableColumn>
    <tableColumn id="82" xr3:uid="{00D1969C-46E5-41EA-978B-469D869948BD}" name="2月補填金7" totalsRowFunction="sum" dataDxfId="75" totalsRowDxfId="74" dataCellStyle="桁区切り">
      <calculatedColumnFormula>ROUNDDOWN(BZ14*CB14*1/2,0)</calculatedColumnFormula>
    </tableColumn>
    <tableColumn id="83" xr3:uid="{DF32711A-144A-4EE0-BADC-48A7ABE6EAC4}" name="3月単価2" dataDxfId="73" totalsRowDxfId="72">
      <calculatedColumnFormula>VLOOKUP($O14,$CI$4:$CJ$7,2,0)</calculatedColumnFormula>
    </tableColumn>
    <tableColumn id="84" xr3:uid="{86B36D67-2AD0-443B-BA5C-00A9A7E2F6D6}" name="3月購入実績3" totalsRowFunction="sum" dataDxfId="71" totalsRowDxfId="70" dataCellStyle="桁区切り">
      <calculatedColumnFormula>SUMIFS(購入実績入力シート[購入数量],購入実績入力シート[対象月],'管理シート（本体）'!CF$8,購入実績入力シート[氏名],管理シート[[#This Row],[氏名]],購入実績入力シート[燃料別],管理シート[[#This Row],[燃料別]])</calculatedColumnFormula>
    </tableColumn>
    <tableColumn id="85" xr3:uid="{7CF3E27D-BF1D-4BC9-A836-D7175D3E2033}" name="3月補填対象4" totalsRowFunction="sum" dataDxfId="69" totalsRowDxfId="68">
      <calculatedColumnFormula>VLOOKUP($O14,CI$4:CK$7,3,0)*CG14</calculatedColumnFormula>
    </tableColumn>
    <tableColumn id="86" xr3:uid="{BBA89067-54AC-4D09-B2F4-188243600A41}" name="3月補填金額5" totalsRowFunction="sum" dataDxfId="67" totalsRowDxfId="66" dataCellStyle="桁区切り">
      <calculatedColumnFormula>SUM(CJ14:CK14)</calculatedColumnFormula>
    </tableColumn>
    <tableColumn id="87" xr3:uid="{029608CC-D9BF-41B4-8FD6-693FEA2B794E}" name="3月積立金6" totalsRowFunction="sum" dataDxfId="65" totalsRowDxfId="64" dataCellStyle="桁区切り">
      <calculatedColumnFormula>ROUNDDOWN(CF14*CH14*1/2,0)</calculatedColumnFormula>
    </tableColumn>
    <tableColumn id="88" xr3:uid="{B39AC134-01ED-4BEA-849E-4566670DEDD8}" name="3月補填金7" totalsRowFunction="sum" dataDxfId="63" totalsRowDxfId="62" dataCellStyle="桁区切り">
      <calculatedColumnFormula>ROUNDDOWN(CF14*CH14*1/2,0)</calculatedColumnFormula>
    </tableColumn>
    <tableColumn id="89" xr3:uid="{56E8557C-68F2-4A83-9C45-AC1D0B09EB28}" name="4月単価2" dataDxfId="61" totalsRowDxfId="60">
      <calculatedColumnFormula>VLOOKUP($O14,$CO$4:$CP$7,2,0)</calculatedColumnFormula>
    </tableColumn>
    <tableColumn id="90" xr3:uid="{25BA3AAD-D0C8-4624-A31F-8727A7FAB5A3}" name="4月購入実績3" totalsRowFunction="sum" dataDxfId="59" totalsRowDxfId="58" dataCellStyle="桁区切り">
      <calculatedColumnFormula>SUMIFS(購入実績入力シート[購入数量],購入実績入力シート[対象月],'管理シート（本体）'!CL$8,購入実績入力シート[氏名],管理シート[[#This Row],[氏名]],購入実績入力シート[燃料別],管理シート[[#This Row],[燃料別]])</calculatedColumnFormula>
    </tableColumn>
    <tableColumn id="91" xr3:uid="{1F89A105-4452-4C95-8CBE-D99C2BBAD53F}" name="4月補填対象4" totalsRowFunction="sum" dataDxfId="57" totalsRowDxfId="56">
      <calculatedColumnFormula>VLOOKUP($O14,CO$4:CQ$7,3,0)*CM14</calculatedColumnFormula>
    </tableColumn>
    <tableColumn id="92" xr3:uid="{7C041B0E-3F7C-416B-AD58-647E40868735}" name="4月補填金額5" totalsRowFunction="sum" dataDxfId="55" totalsRowDxfId="54" dataCellStyle="桁区切り">
      <calculatedColumnFormula>SUM(CP14:CQ14)</calculatedColumnFormula>
    </tableColumn>
    <tableColumn id="93" xr3:uid="{43D8062D-5EA3-4BA4-BF46-26A44389DD63}" name="4月積立金6" totalsRowFunction="sum" dataDxfId="53" totalsRowDxfId="52" dataCellStyle="桁区切り">
      <calculatedColumnFormula>ROUNDDOWN(CL14*CN14*1/2,0)</calculatedColumnFormula>
    </tableColumn>
    <tableColumn id="94" xr3:uid="{581D739D-5FEB-4949-A41A-D6F95D82B145}" name="4月補填金7" totalsRowFunction="sum" dataDxfId="51" totalsRowDxfId="50" dataCellStyle="桁区切り">
      <calculatedColumnFormula>ROUNDDOWN(CL14*CN14*1/2,0)</calculatedColumnFormula>
    </tableColumn>
    <tableColumn id="95" xr3:uid="{D968556C-0BCE-4E82-84BB-3BA957A7540D}" name="5月単価2" dataDxfId="49" totalsRowDxfId="48">
      <calculatedColumnFormula>VLOOKUP($O14,$CU$4:$CV$7,2,0)</calculatedColumnFormula>
    </tableColumn>
    <tableColumn id="96" xr3:uid="{BECCD007-84A7-4498-BD88-205F4C1CE196}" name="5月購入実績3" totalsRowFunction="sum" dataDxfId="47" totalsRowDxfId="46" dataCellStyle="桁区切り">
      <calculatedColumnFormula>SUMIFS(購入実績入力シート[購入数量],購入実績入力シート[対象月],'管理シート（本体）'!CR$8,購入実績入力シート[氏名],管理シート[[#This Row],[氏名]],購入実績入力シート[燃料別],管理シート[[#This Row],[燃料別]])</calculatedColumnFormula>
    </tableColumn>
    <tableColumn id="97" xr3:uid="{34616F37-5FD2-4687-A69E-C75B56AC13D2}" name="5月補填対象4" totalsRowFunction="sum" dataDxfId="45" totalsRowDxfId="44">
      <calculatedColumnFormula>VLOOKUP($O14,CU$4:CW$7,3,0)*CS14</calculatedColumnFormula>
    </tableColumn>
    <tableColumn id="98" xr3:uid="{ABD2FF50-1512-4FA9-8AEB-BEED4EF8C075}" name="5月補填金額5" totalsRowFunction="sum" dataDxfId="43" totalsRowDxfId="42" dataCellStyle="桁区切り">
      <calculatedColumnFormula>SUM(CV14:CW14)</calculatedColumnFormula>
    </tableColumn>
    <tableColumn id="99" xr3:uid="{32A90518-B79A-4100-B05B-78FDCB2D9762}" name="5月積立金6" totalsRowFunction="sum" dataDxfId="41" totalsRowDxfId="40" dataCellStyle="桁区切り">
      <calculatedColumnFormula>ROUNDDOWN(CR14*CT14*1/2,0)</calculatedColumnFormula>
    </tableColumn>
    <tableColumn id="100" xr3:uid="{2B5B2470-C1BF-4E69-BE51-827E130DAB2D}" name="5月補填金7" totalsRowFunction="sum" dataDxfId="39" totalsRowDxfId="38" dataCellStyle="桁区切り">
      <calculatedColumnFormula>ROUNDDOWN(CR14*CT14*1/2,0)</calculatedColumnFormula>
    </tableColumn>
    <tableColumn id="101" xr3:uid="{6AA70C1B-AE6F-4A83-B00C-C20597490224}" name="6月単価2" dataDxfId="37" totalsRowDxfId="36">
      <calculatedColumnFormula>VLOOKUP($O14,$DA$4:$DB$7,2,0)</calculatedColumnFormula>
    </tableColumn>
    <tableColumn id="102" xr3:uid="{642D6B38-DF10-40C0-8FDD-5D869DBE352B}" name="6月購入実績3" totalsRowFunction="sum" dataDxfId="35" totalsRowDxfId="34" dataCellStyle="桁区切り">
      <calculatedColumnFormula>SUMIFS(購入実績入力シート[購入数量],購入実績入力シート[対象月],'管理シート（本体）'!CX$8,購入実績入力シート[氏名],管理シート[[#This Row],[氏名]],購入実績入力シート[燃料別],管理シート[[#This Row],[燃料別]])</calculatedColumnFormula>
    </tableColumn>
    <tableColumn id="103" xr3:uid="{E6800C41-DD6E-43F2-8E32-71DF3CB304C3}" name="6月補填対象4" totalsRowFunction="sum" dataDxfId="33" totalsRowDxfId="32">
      <calculatedColumnFormula>VLOOKUP($O14,DA$4:DC$7,3,0)*CY14</calculatedColumnFormula>
    </tableColumn>
    <tableColumn id="104" xr3:uid="{97258A3E-ECE3-415F-9117-4B129A9A94A0}" name="6月補填金額5" totalsRowFunction="sum" dataDxfId="31" totalsRowDxfId="30" dataCellStyle="桁区切り"/>
    <tableColumn id="105" xr3:uid="{02595B23-087A-45C7-AEF0-C9B65B49A95A}" name="6月積立金6" totalsRowFunction="sum" dataDxfId="29" totalsRowDxfId="28" dataCellStyle="桁区切り">
      <calculatedColumnFormula>ROUNDDOWN(CX14*CZ14*1/2,0)</calculatedColumnFormula>
    </tableColumn>
    <tableColumn id="106" xr3:uid="{FE36F72E-2F41-4811-8CC3-4F2DFAAB68BA}" name="6月補填金7" totalsRowFunction="sum" dataDxfId="27" totalsRowDxfId="26" dataCellStyle="桁区切り">
      <calculatedColumnFormula>ROUNDDOWN(CX14*CZ14*1/2,0)</calculatedColumnFormula>
    </tableColumn>
    <tableColumn id="107" xr3:uid="{57A1B176-04B3-4F12-9343-F2248CC1FA8F}" name="交付額うち積立金" totalsRowFunction="sum" dataDxfId="25" totalsRowDxfId="24" dataCellStyle="桁区切り">
      <calculatedColumnFormula>BF14+BL14+BR14+BX14+CD14+CJ14+CP14+CV14+DB14</calculatedColumnFormula>
    </tableColumn>
    <tableColumn id="108" xr3:uid="{3B5B7D15-5A1E-4C21-A9B3-5D7399D40955}" name="農家積立金残額" totalsRowFunction="sum" dataDxfId="23" totalsRowDxfId="22" dataCellStyle="桁区切り">
      <calculatedColumnFormula>Q14-DD14</calculatedColumnFormula>
    </tableColumn>
    <tableColumn id="109" xr3:uid="{FE755151-FC31-47E8-B554-4E015C5DC453}" name="積立金残額0発生月" dataDxfId="21" totalsRowDxfId="20" dataCellStyle="桁区切り"/>
    <tableColumn id="110" xr3:uid="{B0096A7A-F41D-4AFF-A5E0-B4D702B9BCA2}" name="年間燃料購入実績" totalsRowFunction="sum" dataDxfId="19" totalsRowDxfId="18">
      <calculatedColumnFormula>SUM(BA14,BC14,BI14,BO14,BU14,CA14,CG14,CM14,CS14,CY14)</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EEFFE4-85D7-45C4-83AB-8BC072E9DE5F}" name="購入実績入力シート" displayName="購入実績入力シート" ref="A3:F23" headerRowDxfId="17" headerRowBorderDxfId="16" tableBorderDxfId="15" totalsRowBorderDxfId="14">
  <autoFilter ref="A3:F23" xr:uid="{D1EEFFE4-85D7-45C4-83AB-8BC072E9DE5F}"/>
  <tableColumns count="6">
    <tableColumn id="1" xr3:uid="{0DD73C58-E5BF-47BC-8565-E59705806616}" name="対象月" dataDxfId="13" totalsRowDxfId="12"/>
    <tableColumn id="3" xr3:uid="{1E495920-96EB-4AED-8DBD-FE0713023783}" name="氏名" dataDxfId="11" totalsRowDxfId="10"/>
    <tableColumn id="4" xr3:uid="{57571FA6-C063-4ABE-A7D1-EDF08C8348B6}" name="購入日" dataDxfId="9" totalsRowDxfId="8"/>
    <tableColumn id="5" xr3:uid="{F7C3C008-730D-454D-8C4D-7AC7F01C265B}" name="燃料別" dataDxfId="7" totalsRowDxfId="6"/>
    <tableColumn id="6" xr3:uid="{8ADC528F-3A13-493E-8996-884B552D1228}" name="購入数量" totalsRowFunction="sum" dataDxfId="5" totalsRowDxfId="4"/>
    <tableColumn id="8" xr3:uid="{74349CE6-B683-47E6-984A-EFFB8B1E6719}" name="伝票No." dataDxfId="3" totalsRowDxfId="2">
      <calculatedColumnFormula>COUNTIFS($A$4:A4,A4,$B$4:B4,B4)</calculatedColumnFormula>
    </tableColumn>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B5E1B-8272-42A1-A109-D3A1DDF559A6}">
  <dimension ref="A2:F40"/>
  <sheetViews>
    <sheetView workbookViewId="0"/>
  </sheetViews>
  <sheetFormatPr defaultColWidth="8.69921875" defaultRowHeight="18"/>
  <cols>
    <col min="1" max="1" width="5.59765625" style="203" customWidth="1"/>
    <col min="2" max="16384" width="8.69921875" style="203"/>
  </cols>
  <sheetData>
    <row r="2" spans="1:2">
      <c r="A2" s="203" t="s">
        <v>0</v>
      </c>
    </row>
    <row r="3" spans="1:2">
      <c r="A3" s="204" t="s">
        <v>1</v>
      </c>
      <c r="B3" s="203" t="s">
        <v>2</v>
      </c>
    </row>
    <row r="4" spans="1:2">
      <c r="A4" s="204"/>
      <c r="B4" s="203" t="s">
        <v>3</v>
      </c>
    </row>
    <row r="5" spans="1:2">
      <c r="A5" s="204"/>
      <c r="B5" s="203" t="s">
        <v>4</v>
      </c>
    </row>
    <row r="6" spans="1:2">
      <c r="A6" s="204"/>
      <c r="B6" s="203" t="s">
        <v>5</v>
      </c>
    </row>
    <row r="7" spans="1:2">
      <c r="A7" s="204"/>
      <c r="B7" s="203" t="s">
        <v>6</v>
      </c>
    </row>
    <row r="8" spans="1:2">
      <c r="A8" s="204"/>
    </row>
    <row r="9" spans="1:2">
      <c r="A9" s="204" t="s">
        <v>7</v>
      </c>
      <c r="B9" s="203" t="s">
        <v>8</v>
      </c>
    </row>
    <row r="10" spans="1:2">
      <c r="A10" s="204"/>
      <c r="B10" s="203" t="s">
        <v>9</v>
      </c>
    </row>
    <row r="11" spans="1:2">
      <c r="A11" s="204"/>
      <c r="B11" s="203" t="s">
        <v>10</v>
      </c>
    </row>
    <row r="12" spans="1:2">
      <c r="A12" s="204"/>
      <c r="B12" s="203" t="s">
        <v>11</v>
      </c>
    </row>
    <row r="13" spans="1:2">
      <c r="A13" s="204"/>
      <c r="B13" s="203" t="s">
        <v>12</v>
      </c>
    </row>
    <row r="14" spans="1:2">
      <c r="A14" s="204"/>
    </row>
    <row r="15" spans="1:2">
      <c r="A15" s="204" t="s">
        <v>13</v>
      </c>
      <c r="B15" s="203" t="s">
        <v>14</v>
      </c>
    </row>
    <row r="16" spans="1:2">
      <c r="A16" s="204"/>
      <c r="B16" s="203" t="s">
        <v>15</v>
      </c>
    </row>
    <row r="17" spans="1:2">
      <c r="A17" s="204"/>
      <c r="B17" s="203" t="s">
        <v>16</v>
      </c>
    </row>
    <row r="18" spans="1:2">
      <c r="A18" s="205"/>
    </row>
    <row r="19" spans="1:2">
      <c r="A19" s="204" t="s">
        <v>17</v>
      </c>
      <c r="B19" s="203" t="s">
        <v>18</v>
      </c>
    </row>
    <row r="20" spans="1:2">
      <c r="A20" s="204"/>
      <c r="B20" s="203" t="s">
        <v>19</v>
      </c>
    </row>
    <row r="21" spans="1:2">
      <c r="A21" s="204"/>
      <c r="B21" s="203" t="s">
        <v>20</v>
      </c>
    </row>
    <row r="22" spans="1:2">
      <c r="A22" s="204"/>
      <c r="B22" s="203" t="s">
        <v>21</v>
      </c>
    </row>
    <row r="23" spans="1:2">
      <c r="A23" s="204"/>
      <c r="B23" s="203" t="s">
        <v>22</v>
      </c>
    </row>
    <row r="24" spans="1:2">
      <c r="A24" s="204"/>
      <c r="B24" s="206" t="s">
        <v>23</v>
      </c>
    </row>
    <row r="25" spans="1:2">
      <c r="A25" s="204"/>
      <c r="B25" s="203" t="s">
        <v>24</v>
      </c>
    </row>
    <row r="26" spans="1:2">
      <c r="A26" s="204"/>
    </row>
    <row r="27" spans="1:2">
      <c r="A27" s="204" t="s">
        <v>25</v>
      </c>
      <c r="B27" s="203" t="s">
        <v>26</v>
      </c>
    </row>
    <row r="28" spans="1:2">
      <c r="A28" s="204"/>
      <c r="B28" s="203" t="s">
        <v>27</v>
      </c>
    </row>
    <row r="29" spans="1:2">
      <c r="A29" s="204"/>
      <c r="B29" s="203" t="s">
        <v>28</v>
      </c>
    </row>
    <row r="30" spans="1:2">
      <c r="A30" s="204"/>
      <c r="B30" s="203" t="s">
        <v>29</v>
      </c>
    </row>
    <row r="31" spans="1:2">
      <c r="A31" s="204"/>
      <c r="B31" s="203" t="s">
        <v>30</v>
      </c>
    </row>
    <row r="32" spans="1:2">
      <c r="A32" s="204"/>
      <c r="B32" s="203" t="s">
        <v>31</v>
      </c>
    </row>
    <row r="33" spans="1:6">
      <c r="A33" s="205"/>
      <c r="B33" s="203" t="s">
        <v>32</v>
      </c>
    </row>
    <row r="34" spans="1:6">
      <c r="B34" s="203" t="s">
        <v>33</v>
      </c>
    </row>
    <row r="35" spans="1:6">
      <c r="A35" s="205"/>
      <c r="B35" s="203" t="s">
        <v>34</v>
      </c>
    </row>
    <row r="36" spans="1:6">
      <c r="A36" s="205"/>
      <c r="B36" s="203" t="s">
        <v>35</v>
      </c>
    </row>
    <row r="37" spans="1:6">
      <c r="A37" s="205"/>
    </row>
    <row r="40" spans="1:6">
      <c r="F40" s="207"/>
    </row>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587EC-EC4F-40A9-BA34-B53ECE197404}">
  <sheetPr>
    <tabColor rgb="FFFFC000"/>
    <pageSetUpPr fitToPage="1"/>
  </sheetPr>
  <dimension ref="A3:DG93"/>
  <sheetViews>
    <sheetView tabSelected="1" view="pageBreakPreview" zoomScale="50" zoomScaleNormal="80" zoomScaleSheetLayoutView="50" workbookViewId="0">
      <selection activeCell="AI6" sqref="AI6"/>
    </sheetView>
  </sheetViews>
  <sheetFormatPr defaultColWidth="9" defaultRowHeight="19.5" customHeight="1" outlineLevelCol="1"/>
  <cols>
    <col min="1" max="1" width="10.09765625" style="1" customWidth="1" outlineLevel="1"/>
    <col min="2" max="2" width="7.5" style="1" customWidth="1"/>
    <col min="3" max="3" width="16.69921875" style="1" customWidth="1"/>
    <col min="4" max="4" width="12.59765625" style="1" customWidth="1" outlineLevel="1"/>
    <col min="5" max="5" width="8.296875" style="1" customWidth="1" outlineLevel="1"/>
    <col min="6" max="6" width="19" style="1" customWidth="1" outlineLevel="1"/>
    <col min="7" max="7" width="13.09765625" style="1" customWidth="1" outlineLevel="1"/>
    <col min="8" max="8" width="12.5" style="1" customWidth="1"/>
    <col min="9" max="10" width="7.5" style="1" customWidth="1"/>
    <col min="11" max="11" width="16.5" style="1" customWidth="1"/>
    <col min="12" max="12" width="19.5" style="4" customWidth="1" outlineLevel="1"/>
    <col min="13" max="13" width="10.296875" style="4" customWidth="1" outlineLevel="1"/>
    <col min="14" max="15" width="8.69921875" style="1" customWidth="1" outlineLevel="1"/>
    <col min="16" max="18" width="11.19921875" style="1" customWidth="1" outlineLevel="1"/>
    <col min="19" max="19" width="12.19921875" style="1" customWidth="1" outlineLevel="1"/>
    <col min="20" max="20" width="11.19921875" style="1" customWidth="1" outlineLevel="1"/>
    <col min="21" max="21" width="7.5" style="1" customWidth="1" outlineLevel="1"/>
    <col min="22" max="22" width="11.19921875" style="1" customWidth="1" outlineLevel="1"/>
    <col min="23" max="23" width="7.5" style="1" customWidth="1" outlineLevel="1"/>
    <col min="24" max="24" width="12.796875" style="1" customWidth="1" outlineLevel="1"/>
    <col min="25" max="25" width="11.19921875" style="1" customWidth="1"/>
    <col min="26" max="31" width="8.09765625" style="1" customWidth="1" outlineLevel="1"/>
    <col min="32" max="32" width="9.69921875" style="1" customWidth="1" outlineLevel="1"/>
    <col min="33" max="33" width="12.19921875" style="1" customWidth="1" outlineLevel="1"/>
    <col min="34" max="34" width="9.69921875" style="1" customWidth="1" outlineLevel="1"/>
    <col min="35" max="35" width="13" style="1" customWidth="1" outlineLevel="1"/>
    <col min="36" max="37" width="8.796875" style="1" customWidth="1" outlineLevel="1"/>
    <col min="38" max="52" width="10.59765625" style="1" customWidth="1" outlineLevel="1"/>
    <col min="53" max="53" width="17" style="1" customWidth="1" outlineLevel="1"/>
    <col min="54" max="62" width="10.59765625" style="1" customWidth="1"/>
    <col min="63" max="63" width="11.69921875" style="1" customWidth="1"/>
    <col min="64" max="66" width="10.59765625" style="1" customWidth="1"/>
    <col min="67" max="69" width="10.5" style="1" customWidth="1"/>
    <col min="70" max="70" width="9" style="1" customWidth="1"/>
    <col min="71" max="107" width="10.59765625" style="1" customWidth="1"/>
    <col min="108" max="111" width="14.296875" style="1" customWidth="1"/>
    <col min="112" max="16384" width="9" style="1"/>
  </cols>
  <sheetData>
    <row r="3" spans="1:111" ht="53.25" customHeight="1" thickBot="1">
      <c r="A3" s="326" t="s">
        <v>367</v>
      </c>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134" t="s">
        <v>36</v>
      </c>
      <c r="AJ3" s="10"/>
      <c r="AK3" s="10"/>
      <c r="AL3" s="10"/>
      <c r="AM3" s="10"/>
      <c r="AN3" s="10"/>
      <c r="AO3" s="10"/>
      <c r="AP3" s="10"/>
      <c r="AQ3" s="10"/>
      <c r="AR3" s="10"/>
      <c r="AS3" s="10"/>
      <c r="AT3" s="10"/>
      <c r="AU3" s="10"/>
      <c r="AV3" s="10"/>
      <c r="AW3" s="5"/>
    </row>
    <row r="4" spans="1:111" ht="19.5"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33" t="s">
        <v>37</v>
      </c>
      <c r="AJ4" s="59">
        <v>1.1499999999999999</v>
      </c>
      <c r="AK4" s="59">
        <v>0.7</v>
      </c>
      <c r="AL4" s="60" t="s">
        <v>38</v>
      </c>
      <c r="AM4" s="60"/>
      <c r="AN4" s="60"/>
      <c r="AO4" s="270"/>
      <c r="AP4" s="60"/>
      <c r="AQ4" s="60"/>
      <c r="AR4" s="60"/>
      <c r="AS4" s="60"/>
      <c r="AT4" s="60"/>
      <c r="AU4" s="60"/>
      <c r="AV4" s="60"/>
      <c r="AW4" s="60"/>
      <c r="AX4" s="60"/>
      <c r="AY4" s="60"/>
      <c r="AZ4" s="60"/>
      <c r="BC4" s="80"/>
      <c r="BD4" s="81" t="s">
        <v>376</v>
      </c>
      <c r="BE4" s="75" t="s">
        <v>39</v>
      </c>
      <c r="BF4" s="68">
        <v>20</v>
      </c>
      <c r="BG4" s="69">
        <v>0.7</v>
      </c>
      <c r="BI4" s="80"/>
      <c r="BJ4" s="81" t="s">
        <v>377</v>
      </c>
      <c r="BK4" s="64" t="s">
        <v>37</v>
      </c>
      <c r="BL4" s="68">
        <v>0</v>
      </c>
      <c r="BM4" s="69">
        <v>1</v>
      </c>
      <c r="BO4" s="80"/>
      <c r="BP4" s="81" t="s">
        <v>378</v>
      </c>
      <c r="BQ4" s="64" t="s">
        <v>37</v>
      </c>
      <c r="BR4" s="68">
        <v>0</v>
      </c>
      <c r="BS4" s="69">
        <v>1</v>
      </c>
      <c r="BU4" s="80"/>
      <c r="BV4" s="81" t="s">
        <v>380</v>
      </c>
      <c r="BW4" s="64" t="s">
        <v>37</v>
      </c>
      <c r="BX4" s="68">
        <v>0</v>
      </c>
      <c r="BY4" s="69">
        <v>1</v>
      </c>
      <c r="CA4" s="80"/>
      <c r="CB4" s="81" t="s">
        <v>382</v>
      </c>
      <c r="CC4" s="64" t="s">
        <v>37</v>
      </c>
      <c r="CD4" s="68">
        <v>0</v>
      </c>
      <c r="CE4" s="69">
        <v>1</v>
      </c>
      <c r="CG4" s="80"/>
      <c r="CH4" s="81" t="s">
        <v>384</v>
      </c>
      <c r="CI4" s="64" t="s">
        <v>37</v>
      </c>
      <c r="CJ4" s="68">
        <v>0</v>
      </c>
      <c r="CK4" s="69">
        <v>1</v>
      </c>
      <c r="CM4" s="80"/>
      <c r="CN4" s="81" t="s">
        <v>386</v>
      </c>
      <c r="CO4" s="64" t="s">
        <v>37</v>
      </c>
      <c r="CP4" s="68">
        <v>0</v>
      </c>
      <c r="CQ4" s="69">
        <v>1</v>
      </c>
      <c r="CS4" s="80"/>
      <c r="CT4" s="81" t="s">
        <v>388</v>
      </c>
      <c r="CU4" s="64" t="s">
        <v>37</v>
      </c>
      <c r="CV4" s="68">
        <v>0</v>
      </c>
      <c r="CW4" s="69">
        <v>1</v>
      </c>
      <c r="CY4" s="80"/>
      <c r="CZ4" s="81" t="s">
        <v>390</v>
      </c>
      <c r="DA4" s="64" t="s">
        <v>37</v>
      </c>
      <c r="DB4" s="68">
        <v>0</v>
      </c>
      <c r="DC4" s="69">
        <v>1</v>
      </c>
    </row>
    <row r="5" spans="1:111" ht="19.5" customHeight="1">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33" t="s">
        <v>40</v>
      </c>
      <c r="AJ5" s="59">
        <v>1.3</v>
      </c>
      <c r="AK5" s="59">
        <v>0.8</v>
      </c>
      <c r="AL5" s="60" t="s">
        <v>41</v>
      </c>
      <c r="AM5" s="60"/>
      <c r="AN5" s="60"/>
      <c r="AO5" s="270"/>
      <c r="AP5" s="60"/>
      <c r="AQ5" s="60"/>
      <c r="AR5" s="60"/>
      <c r="AS5" s="60"/>
      <c r="AT5" s="60"/>
      <c r="AU5" s="60"/>
      <c r="AV5" s="60"/>
      <c r="AW5" s="60"/>
      <c r="AX5" s="60"/>
      <c r="AY5" s="60"/>
      <c r="AZ5" s="60"/>
      <c r="BC5" s="78"/>
      <c r="BD5" s="208"/>
      <c r="BE5" s="76" t="s">
        <v>42</v>
      </c>
      <c r="BF5" s="70">
        <v>25</v>
      </c>
      <c r="BG5" s="71">
        <v>1</v>
      </c>
      <c r="BI5" s="78"/>
      <c r="BJ5" s="208"/>
      <c r="BK5" s="65" t="s">
        <v>42</v>
      </c>
      <c r="BL5" s="70"/>
      <c r="BM5" s="71">
        <v>1</v>
      </c>
      <c r="BO5" s="78"/>
      <c r="BP5" s="208"/>
      <c r="BQ5" s="65" t="s">
        <v>42</v>
      </c>
      <c r="BR5" s="70"/>
      <c r="BS5" s="71">
        <v>1</v>
      </c>
      <c r="BU5" s="78"/>
      <c r="BV5" s="208"/>
      <c r="BW5" s="65" t="s">
        <v>42</v>
      </c>
      <c r="BX5" s="70"/>
      <c r="BY5" s="71">
        <v>1</v>
      </c>
      <c r="CA5" s="78"/>
      <c r="CB5" s="208"/>
      <c r="CC5" s="65" t="s">
        <v>42</v>
      </c>
      <c r="CD5" s="70"/>
      <c r="CE5" s="71">
        <v>1</v>
      </c>
      <c r="CG5" s="78"/>
      <c r="CH5" s="208"/>
      <c r="CI5" s="65" t="s">
        <v>42</v>
      </c>
      <c r="CJ5" s="70"/>
      <c r="CK5" s="71">
        <v>1</v>
      </c>
      <c r="CM5" s="78"/>
      <c r="CN5" s="208"/>
      <c r="CO5" s="65" t="s">
        <v>42</v>
      </c>
      <c r="CP5" s="70"/>
      <c r="CQ5" s="71">
        <v>1</v>
      </c>
      <c r="CS5" s="78"/>
      <c r="CT5" s="208"/>
      <c r="CU5" s="65" t="s">
        <v>42</v>
      </c>
      <c r="CV5" s="70"/>
      <c r="CW5" s="71">
        <v>1</v>
      </c>
      <c r="CY5" s="78"/>
      <c r="CZ5" s="208"/>
      <c r="DA5" s="65" t="s">
        <v>42</v>
      </c>
      <c r="DB5" s="70"/>
      <c r="DC5" s="71">
        <v>1</v>
      </c>
    </row>
    <row r="6" spans="1:111" ht="19.5"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33" t="s">
        <v>43</v>
      </c>
      <c r="AJ6" s="59">
        <v>1.5</v>
      </c>
      <c r="AK6" s="59">
        <v>0.9</v>
      </c>
      <c r="AL6" s="10"/>
      <c r="AM6" s="10"/>
      <c r="AN6" s="10"/>
      <c r="AO6" s="270"/>
      <c r="AP6" s="10"/>
      <c r="AQ6" s="10"/>
      <c r="AR6" s="10"/>
      <c r="AS6" s="60"/>
      <c r="AT6" s="10"/>
      <c r="AU6" s="10"/>
      <c r="AV6" s="10"/>
      <c r="AW6" s="10"/>
      <c r="AX6" s="60"/>
      <c r="AY6" s="10"/>
      <c r="AZ6" s="10"/>
      <c r="BC6" s="78"/>
      <c r="BD6" s="209"/>
      <c r="BE6" s="76" t="s">
        <v>44</v>
      </c>
      <c r="BF6" s="72">
        <v>30</v>
      </c>
      <c r="BG6" s="71">
        <v>0.7</v>
      </c>
      <c r="BI6" s="78"/>
      <c r="BJ6" s="209"/>
      <c r="BK6" s="65" t="s">
        <v>44</v>
      </c>
      <c r="BL6" s="72"/>
      <c r="BM6" s="71">
        <v>1</v>
      </c>
      <c r="BO6" s="78"/>
      <c r="BP6" s="209"/>
      <c r="BQ6" s="65" t="s">
        <v>44</v>
      </c>
      <c r="BR6" s="72"/>
      <c r="BS6" s="71">
        <v>1</v>
      </c>
      <c r="BU6" s="78"/>
      <c r="BV6" s="209"/>
      <c r="BW6" s="65" t="s">
        <v>44</v>
      </c>
      <c r="BX6" s="72"/>
      <c r="BY6" s="71">
        <v>1</v>
      </c>
      <c r="CA6" s="78"/>
      <c r="CB6" s="209"/>
      <c r="CC6" s="65" t="s">
        <v>44</v>
      </c>
      <c r="CD6" s="72"/>
      <c r="CE6" s="71">
        <v>1</v>
      </c>
      <c r="CG6" s="78"/>
      <c r="CH6" s="209"/>
      <c r="CI6" s="65" t="s">
        <v>44</v>
      </c>
      <c r="CJ6" s="72"/>
      <c r="CK6" s="71">
        <v>1</v>
      </c>
      <c r="CM6" s="78"/>
      <c r="CN6" s="209"/>
      <c r="CO6" s="65" t="s">
        <v>44</v>
      </c>
      <c r="CP6" s="72"/>
      <c r="CQ6" s="71">
        <v>1</v>
      </c>
      <c r="CS6" s="78"/>
      <c r="CT6" s="209"/>
      <c r="CU6" s="65" t="s">
        <v>44</v>
      </c>
      <c r="CV6" s="72"/>
      <c r="CW6" s="71">
        <v>1</v>
      </c>
      <c r="CY6" s="78"/>
      <c r="CZ6" s="209"/>
      <c r="DA6" s="65" t="s">
        <v>44</v>
      </c>
      <c r="DB6" s="72"/>
      <c r="DC6" s="71">
        <v>1</v>
      </c>
    </row>
    <row r="7" spans="1:111" ht="19.5" customHeight="1" thickBot="1">
      <c r="A7" s="10"/>
      <c r="B7" s="10"/>
      <c r="C7" s="10"/>
      <c r="D7" s="10"/>
      <c r="E7" s="10"/>
      <c r="F7" s="10"/>
      <c r="G7" s="10"/>
      <c r="H7" s="10"/>
      <c r="I7" s="10"/>
      <c r="J7" s="10"/>
      <c r="K7" s="10"/>
      <c r="L7" s="10"/>
      <c r="M7" s="269" t="s">
        <v>308</v>
      </c>
      <c r="N7" s="10"/>
      <c r="O7" s="10"/>
      <c r="P7" s="10"/>
      <c r="Q7" s="10"/>
      <c r="R7" s="10"/>
      <c r="S7" s="10"/>
      <c r="T7" s="10"/>
      <c r="U7" s="10"/>
      <c r="V7" s="10"/>
      <c r="W7" s="10"/>
      <c r="X7" s="10"/>
      <c r="Y7" s="10"/>
      <c r="Z7" s="10"/>
      <c r="AA7" s="10"/>
      <c r="AB7" s="10"/>
      <c r="AC7" s="10"/>
      <c r="AE7" s="10"/>
      <c r="AF7" s="10"/>
      <c r="AG7" s="10"/>
      <c r="AH7" s="10"/>
      <c r="AI7" s="133" t="s">
        <v>45</v>
      </c>
      <c r="AJ7" s="59">
        <v>1.7</v>
      </c>
      <c r="AK7" s="59">
        <v>1</v>
      </c>
      <c r="AL7" s="10"/>
      <c r="AM7" s="10"/>
      <c r="AN7" s="10"/>
      <c r="AO7" s="10"/>
      <c r="AP7" s="10"/>
      <c r="AQ7" s="10"/>
      <c r="AR7" s="10"/>
      <c r="AS7" s="10"/>
      <c r="AT7" s="10"/>
      <c r="AU7" s="10"/>
      <c r="AV7" s="10"/>
      <c r="AW7" s="10"/>
      <c r="AX7" s="10"/>
      <c r="AY7" s="10"/>
      <c r="AZ7" s="10"/>
      <c r="BC7" s="79"/>
      <c r="BD7" s="210"/>
      <c r="BE7" s="77" t="s">
        <v>46</v>
      </c>
      <c r="BF7" s="73">
        <v>35</v>
      </c>
      <c r="BG7" s="74">
        <v>1</v>
      </c>
      <c r="BI7" s="79"/>
      <c r="BJ7" s="210"/>
      <c r="BK7" s="66" t="s">
        <v>46</v>
      </c>
      <c r="BL7" s="73"/>
      <c r="BM7" s="74">
        <v>1</v>
      </c>
      <c r="BO7" s="79"/>
      <c r="BP7" s="210"/>
      <c r="BQ7" s="66" t="s">
        <v>46</v>
      </c>
      <c r="BR7" s="73"/>
      <c r="BS7" s="74">
        <v>1</v>
      </c>
      <c r="BU7" s="79"/>
      <c r="BV7" s="210"/>
      <c r="BW7" s="66" t="s">
        <v>46</v>
      </c>
      <c r="BX7" s="73"/>
      <c r="BY7" s="74">
        <v>1</v>
      </c>
      <c r="CA7" s="79"/>
      <c r="CB7" s="210"/>
      <c r="CC7" s="66" t="s">
        <v>46</v>
      </c>
      <c r="CD7" s="73"/>
      <c r="CE7" s="74">
        <v>1</v>
      </c>
      <c r="CG7" s="79"/>
      <c r="CH7" s="210"/>
      <c r="CI7" s="66" t="s">
        <v>46</v>
      </c>
      <c r="CJ7" s="73"/>
      <c r="CK7" s="74">
        <v>1</v>
      </c>
      <c r="CM7" s="79"/>
      <c r="CN7" s="210"/>
      <c r="CO7" s="66" t="s">
        <v>46</v>
      </c>
      <c r="CP7" s="73"/>
      <c r="CQ7" s="74">
        <v>1</v>
      </c>
      <c r="CS7" s="79"/>
      <c r="CT7" s="210"/>
      <c r="CU7" s="66" t="s">
        <v>46</v>
      </c>
      <c r="CV7" s="73"/>
      <c r="CW7" s="74">
        <v>1</v>
      </c>
      <c r="CY7" s="79"/>
      <c r="CZ7" s="210"/>
      <c r="DA7" s="66" t="s">
        <v>46</v>
      </c>
      <c r="DB7" s="73"/>
      <c r="DC7" s="74">
        <v>1</v>
      </c>
    </row>
    <row r="8" spans="1:111" ht="19.5" customHeight="1" thickBot="1">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5"/>
      <c r="BB8" s="1" t="s">
        <v>47</v>
      </c>
      <c r="BC8" s="5"/>
      <c r="BH8" s="1" t="s">
        <v>48</v>
      </c>
      <c r="BI8" s="5"/>
      <c r="BN8" s="1" t="s">
        <v>49</v>
      </c>
      <c r="BO8" s="5"/>
      <c r="BT8" s="1" t="s">
        <v>50</v>
      </c>
      <c r="BU8" s="5"/>
      <c r="BZ8" s="1" t="s">
        <v>51</v>
      </c>
      <c r="CA8" s="5"/>
      <c r="CF8" s="1" t="s">
        <v>52</v>
      </c>
      <c r="CG8" s="5"/>
      <c r="CL8" s="1" t="s">
        <v>53</v>
      </c>
      <c r="CM8" s="5"/>
      <c r="CR8" s="1" t="s">
        <v>54</v>
      </c>
      <c r="CS8" s="5"/>
      <c r="CX8" s="1" t="s">
        <v>55</v>
      </c>
    </row>
    <row r="9" spans="1:111" ht="28.5" customHeight="1">
      <c r="A9" s="298" t="s">
        <v>56</v>
      </c>
      <c r="B9" s="328" t="s">
        <v>57</v>
      </c>
      <c r="C9" s="321" t="s">
        <v>58</v>
      </c>
      <c r="D9" s="321" t="s">
        <v>59</v>
      </c>
      <c r="E9" s="321" t="s">
        <v>60</v>
      </c>
      <c r="F9" s="321" t="s">
        <v>61</v>
      </c>
      <c r="G9" s="298" t="s">
        <v>62</v>
      </c>
      <c r="H9" s="321" t="s">
        <v>63</v>
      </c>
      <c r="I9" s="298" t="s">
        <v>64</v>
      </c>
      <c r="J9" s="298" t="s">
        <v>65</v>
      </c>
      <c r="K9" s="298" t="s">
        <v>66</v>
      </c>
      <c r="L9" s="321" t="s">
        <v>61</v>
      </c>
      <c r="M9" s="353" t="s">
        <v>307</v>
      </c>
      <c r="N9" s="321" t="s">
        <v>67</v>
      </c>
      <c r="O9" s="321" t="s">
        <v>68</v>
      </c>
      <c r="P9" s="298" t="s">
        <v>69</v>
      </c>
      <c r="Q9" s="323" t="s">
        <v>370</v>
      </c>
      <c r="R9" s="332" t="s">
        <v>371</v>
      </c>
      <c r="S9" s="335" t="s">
        <v>70</v>
      </c>
      <c r="T9" s="116"/>
      <c r="U9" s="116"/>
      <c r="V9" s="116"/>
      <c r="W9" s="116"/>
      <c r="X9" s="117"/>
      <c r="Y9" s="338" t="s">
        <v>71</v>
      </c>
      <c r="Z9" s="300" t="s">
        <v>72</v>
      </c>
      <c r="AA9" s="301"/>
      <c r="AB9" s="301"/>
      <c r="AC9" s="301"/>
      <c r="AD9" s="301"/>
      <c r="AE9" s="302"/>
      <c r="AF9" s="347" t="s">
        <v>73</v>
      </c>
      <c r="AG9" s="348"/>
      <c r="AH9" s="348"/>
      <c r="AI9" s="338"/>
      <c r="AJ9" s="347" t="s">
        <v>74</v>
      </c>
      <c r="AK9" s="348"/>
      <c r="AL9" s="338"/>
      <c r="AM9" s="309" t="s">
        <v>75</v>
      </c>
      <c r="AN9" s="311"/>
      <c r="AO9" s="311"/>
      <c r="AP9" s="311"/>
      <c r="AQ9" s="311"/>
      <c r="AR9" s="311"/>
      <c r="AS9" s="311"/>
      <c r="AT9" s="311"/>
      <c r="AU9" s="311"/>
      <c r="AV9" s="311"/>
      <c r="AW9" s="311"/>
      <c r="AX9" s="311"/>
      <c r="AY9" s="311"/>
      <c r="AZ9" s="310"/>
      <c r="BA9" s="323" t="s">
        <v>373</v>
      </c>
      <c r="BB9" s="342" t="s">
        <v>374</v>
      </c>
      <c r="BC9" s="343"/>
      <c r="BD9" s="343"/>
      <c r="BE9" s="343"/>
      <c r="BF9" s="343"/>
      <c r="BG9" s="344"/>
      <c r="BH9" s="342" t="s">
        <v>375</v>
      </c>
      <c r="BI9" s="343"/>
      <c r="BJ9" s="343"/>
      <c r="BK9" s="343"/>
      <c r="BL9" s="343"/>
      <c r="BM9" s="344"/>
      <c r="BN9" s="342" t="s">
        <v>379</v>
      </c>
      <c r="BO9" s="343"/>
      <c r="BP9" s="343"/>
      <c r="BQ9" s="343"/>
      <c r="BR9" s="343"/>
      <c r="BS9" s="344"/>
      <c r="BT9" s="342" t="s">
        <v>381</v>
      </c>
      <c r="BU9" s="343"/>
      <c r="BV9" s="343"/>
      <c r="BW9" s="343"/>
      <c r="BX9" s="343"/>
      <c r="BY9" s="344"/>
      <c r="BZ9" s="342" t="s">
        <v>383</v>
      </c>
      <c r="CA9" s="343"/>
      <c r="CB9" s="343"/>
      <c r="CC9" s="343"/>
      <c r="CD9" s="343"/>
      <c r="CE9" s="344"/>
      <c r="CF9" s="342" t="s">
        <v>385</v>
      </c>
      <c r="CG9" s="343"/>
      <c r="CH9" s="343"/>
      <c r="CI9" s="343"/>
      <c r="CJ9" s="343"/>
      <c r="CK9" s="344"/>
      <c r="CL9" s="342" t="s">
        <v>387</v>
      </c>
      <c r="CM9" s="343"/>
      <c r="CN9" s="343"/>
      <c r="CO9" s="343"/>
      <c r="CP9" s="343"/>
      <c r="CQ9" s="344"/>
      <c r="CR9" s="342" t="s">
        <v>389</v>
      </c>
      <c r="CS9" s="343"/>
      <c r="CT9" s="343"/>
      <c r="CU9" s="343"/>
      <c r="CV9" s="343"/>
      <c r="CW9" s="344"/>
      <c r="CX9" s="342" t="s">
        <v>391</v>
      </c>
      <c r="CY9" s="343"/>
      <c r="CZ9" s="343"/>
      <c r="DA9" s="343"/>
      <c r="DB9" s="343"/>
      <c r="DC9" s="344"/>
      <c r="DD9" s="298" t="s">
        <v>76</v>
      </c>
      <c r="DE9" s="298" t="s">
        <v>77</v>
      </c>
      <c r="DF9" s="298" t="s">
        <v>78</v>
      </c>
      <c r="DG9" s="298" t="s">
        <v>79</v>
      </c>
    </row>
    <row r="10" spans="1:111" ht="28.5" customHeight="1">
      <c r="A10" s="327"/>
      <c r="B10" s="329"/>
      <c r="C10" s="331"/>
      <c r="D10" s="331"/>
      <c r="E10" s="331"/>
      <c r="F10" s="331"/>
      <c r="G10" s="327"/>
      <c r="H10" s="331"/>
      <c r="I10" s="327"/>
      <c r="J10" s="327"/>
      <c r="K10" s="327"/>
      <c r="L10" s="331"/>
      <c r="M10" s="354"/>
      <c r="N10" s="331"/>
      <c r="O10" s="331"/>
      <c r="P10" s="327"/>
      <c r="Q10" s="324"/>
      <c r="R10" s="333"/>
      <c r="S10" s="336"/>
      <c r="T10" s="289"/>
      <c r="U10" s="289"/>
      <c r="V10" s="289"/>
      <c r="W10" s="289"/>
      <c r="X10" s="118"/>
      <c r="Y10" s="339"/>
      <c r="Z10" s="303"/>
      <c r="AA10" s="304"/>
      <c r="AB10" s="304"/>
      <c r="AC10" s="304"/>
      <c r="AD10" s="304"/>
      <c r="AE10" s="305"/>
      <c r="AF10" s="306"/>
      <c r="AG10" s="307"/>
      <c r="AH10" s="307"/>
      <c r="AI10" s="308"/>
      <c r="AJ10" s="306"/>
      <c r="AK10" s="307"/>
      <c r="AL10" s="308"/>
      <c r="AM10" s="306" t="s">
        <v>80</v>
      </c>
      <c r="AN10" s="307"/>
      <c r="AO10" s="307"/>
      <c r="AP10" s="307"/>
      <c r="AQ10" s="308"/>
      <c r="AR10" s="306" t="s">
        <v>81</v>
      </c>
      <c r="AS10" s="307"/>
      <c r="AT10" s="307"/>
      <c r="AU10" s="307"/>
      <c r="AV10" s="308"/>
      <c r="AW10" s="306" t="s">
        <v>82</v>
      </c>
      <c r="AX10" s="307"/>
      <c r="AY10" s="307"/>
      <c r="AZ10" s="308"/>
      <c r="BA10" s="324"/>
      <c r="BB10" s="119"/>
      <c r="BC10" s="120"/>
      <c r="BD10" s="120"/>
      <c r="BE10" s="120"/>
      <c r="BF10" s="120"/>
      <c r="BG10" s="121"/>
      <c r="BH10" s="119"/>
      <c r="BI10" s="120"/>
      <c r="BJ10" s="120"/>
      <c r="BK10" s="120"/>
      <c r="BL10" s="120"/>
      <c r="BM10" s="121"/>
      <c r="BN10" s="119"/>
      <c r="BO10" s="120"/>
      <c r="BP10" s="120"/>
      <c r="BQ10" s="120"/>
      <c r="BR10" s="120"/>
      <c r="BS10" s="121"/>
      <c r="BT10" s="119"/>
      <c r="BU10" s="120"/>
      <c r="BV10" s="120"/>
      <c r="BW10" s="120"/>
      <c r="BX10" s="120"/>
      <c r="BY10" s="121"/>
      <c r="BZ10" s="119"/>
      <c r="CA10" s="120"/>
      <c r="CB10" s="120"/>
      <c r="CC10" s="120"/>
      <c r="CD10" s="120"/>
      <c r="CE10" s="121"/>
      <c r="CF10" s="119"/>
      <c r="CG10" s="120"/>
      <c r="CH10" s="120"/>
      <c r="CI10" s="120"/>
      <c r="CJ10" s="120"/>
      <c r="CK10" s="121"/>
      <c r="CL10" s="119"/>
      <c r="CM10" s="120"/>
      <c r="CN10" s="120"/>
      <c r="CO10" s="120"/>
      <c r="CP10" s="120"/>
      <c r="CQ10" s="121"/>
      <c r="CR10" s="119"/>
      <c r="CS10" s="120"/>
      <c r="CT10" s="120"/>
      <c r="CU10" s="120"/>
      <c r="CV10" s="120"/>
      <c r="CW10" s="121"/>
      <c r="CX10" s="122"/>
      <c r="CY10" s="120"/>
      <c r="CZ10" s="120"/>
      <c r="DA10" s="120"/>
      <c r="DB10" s="120"/>
      <c r="DC10" s="121"/>
      <c r="DD10" s="327"/>
      <c r="DE10" s="327"/>
      <c r="DF10" s="327"/>
      <c r="DG10" s="327"/>
    </row>
    <row r="11" spans="1:111" ht="24.75" customHeight="1">
      <c r="A11" s="327"/>
      <c r="B11" s="329"/>
      <c r="C11" s="331"/>
      <c r="D11" s="331"/>
      <c r="E11" s="331"/>
      <c r="F11" s="331"/>
      <c r="G11" s="327"/>
      <c r="H11" s="331"/>
      <c r="I11" s="327"/>
      <c r="J11" s="327"/>
      <c r="K11" s="327"/>
      <c r="L11" s="331"/>
      <c r="M11" s="354"/>
      <c r="N11" s="331"/>
      <c r="O11" s="331"/>
      <c r="P11" s="327"/>
      <c r="Q11" s="324"/>
      <c r="R11" s="333"/>
      <c r="S11" s="336"/>
      <c r="T11" s="298" t="s">
        <v>83</v>
      </c>
      <c r="U11" s="298" t="s">
        <v>84</v>
      </c>
      <c r="V11" s="298" t="s">
        <v>85</v>
      </c>
      <c r="W11" s="298" t="s">
        <v>86</v>
      </c>
      <c r="X11" s="345" t="s">
        <v>87</v>
      </c>
      <c r="Y11" s="339"/>
      <c r="Z11" s="321" t="s">
        <v>88</v>
      </c>
      <c r="AA11" s="321" t="s">
        <v>89</v>
      </c>
      <c r="AB11" s="298" t="s">
        <v>90</v>
      </c>
      <c r="AC11" s="298" t="s">
        <v>91</v>
      </c>
      <c r="AD11" s="298" t="s">
        <v>92</v>
      </c>
      <c r="AE11" s="298" t="s">
        <v>93</v>
      </c>
      <c r="AF11" s="340" t="s">
        <v>94</v>
      </c>
      <c r="AG11" s="123"/>
      <c r="AH11" s="340" t="s">
        <v>95</v>
      </c>
      <c r="AI11" s="124"/>
      <c r="AJ11" s="320" t="s">
        <v>96</v>
      </c>
      <c r="AK11" s="320" t="s">
        <v>97</v>
      </c>
      <c r="AL11" s="349" t="s">
        <v>98</v>
      </c>
      <c r="AM11" s="309" t="s">
        <v>99</v>
      </c>
      <c r="AN11" s="310"/>
      <c r="AO11" s="309" t="s">
        <v>100</v>
      </c>
      <c r="AP11" s="311"/>
      <c r="AQ11" s="310"/>
      <c r="AR11" s="309" t="s">
        <v>99</v>
      </c>
      <c r="AS11" s="310"/>
      <c r="AT11" s="309" t="s">
        <v>100</v>
      </c>
      <c r="AU11" s="311"/>
      <c r="AV11" s="310"/>
      <c r="AW11" s="309" t="s">
        <v>100</v>
      </c>
      <c r="AX11" s="311"/>
      <c r="AY11" s="311"/>
      <c r="AZ11" s="310"/>
      <c r="BA11" s="324"/>
      <c r="BB11" s="310" t="s">
        <v>101</v>
      </c>
      <c r="BC11" s="351" t="s">
        <v>102</v>
      </c>
      <c r="BD11" s="351" t="s">
        <v>103</v>
      </c>
      <c r="BE11" s="319" t="s">
        <v>104</v>
      </c>
      <c r="BF11" s="319" t="s">
        <v>105</v>
      </c>
      <c r="BG11" s="319" t="s">
        <v>106</v>
      </c>
      <c r="BH11" s="310" t="s">
        <v>101</v>
      </c>
      <c r="BI11" s="351" t="s">
        <v>102</v>
      </c>
      <c r="BJ11" s="351" t="s">
        <v>103</v>
      </c>
      <c r="BK11" s="319" t="s">
        <v>104</v>
      </c>
      <c r="BL11" s="319" t="s">
        <v>105</v>
      </c>
      <c r="BM11" s="319" t="s">
        <v>106</v>
      </c>
      <c r="BN11" s="310" t="s">
        <v>101</v>
      </c>
      <c r="BO11" s="351" t="s">
        <v>102</v>
      </c>
      <c r="BP11" s="351" t="s">
        <v>103</v>
      </c>
      <c r="BQ11" s="319" t="s">
        <v>104</v>
      </c>
      <c r="BR11" s="319" t="s">
        <v>105</v>
      </c>
      <c r="BS11" s="319" t="s">
        <v>106</v>
      </c>
      <c r="BT11" s="310" t="s">
        <v>101</v>
      </c>
      <c r="BU11" s="351" t="s">
        <v>102</v>
      </c>
      <c r="BV11" s="351" t="s">
        <v>103</v>
      </c>
      <c r="BW11" s="319" t="s">
        <v>104</v>
      </c>
      <c r="BX11" s="319" t="s">
        <v>105</v>
      </c>
      <c r="BY11" s="319" t="s">
        <v>106</v>
      </c>
      <c r="BZ11" s="310" t="s">
        <v>101</v>
      </c>
      <c r="CA11" s="351" t="s">
        <v>102</v>
      </c>
      <c r="CB11" s="351" t="s">
        <v>103</v>
      </c>
      <c r="CC11" s="319" t="s">
        <v>104</v>
      </c>
      <c r="CD11" s="319" t="s">
        <v>105</v>
      </c>
      <c r="CE11" s="319" t="s">
        <v>106</v>
      </c>
      <c r="CF11" s="310" t="s">
        <v>101</v>
      </c>
      <c r="CG11" s="351" t="s">
        <v>102</v>
      </c>
      <c r="CH11" s="351" t="s">
        <v>103</v>
      </c>
      <c r="CI11" s="319" t="s">
        <v>104</v>
      </c>
      <c r="CJ11" s="319" t="s">
        <v>105</v>
      </c>
      <c r="CK11" s="319" t="s">
        <v>106</v>
      </c>
      <c r="CL11" s="310" t="s">
        <v>101</v>
      </c>
      <c r="CM11" s="351" t="s">
        <v>102</v>
      </c>
      <c r="CN11" s="351" t="s">
        <v>103</v>
      </c>
      <c r="CO11" s="319" t="s">
        <v>104</v>
      </c>
      <c r="CP11" s="319" t="s">
        <v>105</v>
      </c>
      <c r="CQ11" s="319" t="s">
        <v>106</v>
      </c>
      <c r="CR11" s="310" t="s">
        <v>101</v>
      </c>
      <c r="CS11" s="351" t="s">
        <v>102</v>
      </c>
      <c r="CT11" s="351" t="s">
        <v>103</v>
      </c>
      <c r="CU11" s="319" t="s">
        <v>104</v>
      </c>
      <c r="CV11" s="319" t="s">
        <v>105</v>
      </c>
      <c r="CW11" s="319" t="s">
        <v>106</v>
      </c>
      <c r="CX11" s="298" t="s">
        <v>101</v>
      </c>
      <c r="CY11" s="351" t="s">
        <v>102</v>
      </c>
      <c r="CZ11" s="351" t="s">
        <v>103</v>
      </c>
      <c r="DA11" s="319" t="s">
        <v>104</v>
      </c>
      <c r="DB11" s="319" t="s">
        <v>105</v>
      </c>
      <c r="DC11" s="319" t="s">
        <v>106</v>
      </c>
      <c r="DD11" s="327"/>
      <c r="DE11" s="327"/>
      <c r="DF11" s="327"/>
      <c r="DG11" s="327"/>
    </row>
    <row r="12" spans="1:111" ht="43.5" customHeight="1">
      <c r="A12" s="299"/>
      <c r="B12" s="330"/>
      <c r="C12" s="322"/>
      <c r="D12" s="322"/>
      <c r="E12" s="322"/>
      <c r="F12" s="322"/>
      <c r="G12" s="299"/>
      <c r="H12" s="322"/>
      <c r="I12" s="299"/>
      <c r="J12" s="299"/>
      <c r="K12" s="299"/>
      <c r="L12" s="322"/>
      <c r="M12" s="355"/>
      <c r="N12" s="322"/>
      <c r="O12" s="322"/>
      <c r="P12" s="299"/>
      <c r="Q12" s="325"/>
      <c r="R12" s="334"/>
      <c r="S12" s="337"/>
      <c r="T12" s="299"/>
      <c r="U12" s="299"/>
      <c r="V12" s="299"/>
      <c r="W12" s="299"/>
      <c r="X12" s="346"/>
      <c r="Y12" s="308"/>
      <c r="Z12" s="322"/>
      <c r="AA12" s="322"/>
      <c r="AB12" s="299"/>
      <c r="AC12" s="299"/>
      <c r="AD12" s="299"/>
      <c r="AE12" s="299"/>
      <c r="AF12" s="341"/>
      <c r="AG12" s="125" t="s">
        <v>107</v>
      </c>
      <c r="AH12" s="341"/>
      <c r="AI12" s="126" t="s">
        <v>107</v>
      </c>
      <c r="AJ12" s="320"/>
      <c r="AK12" s="320"/>
      <c r="AL12" s="349"/>
      <c r="AM12" s="127" t="s">
        <v>108</v>
      </c>
      <c r="AN12" s="127" t="s">
        <v>109</v>
      </c>
      <c r="AO12" s="128" t="s">
        <v>110</v>
      </c>
      <c r="AP12" s="128" t="s">
        <v>111</v>
      </c>
      <c r="AQ12" s="127" t="s">
        <v>109</v>
      </c>
      <c r="AR12" s="127" t="s">
        <v>108</v>
      </c>
      <c r="AS12" s="127" t="s">
        <v>109</v>
      </c>
      <c r="AT12" s="128" t="s">
        <v>110</v>
      </c>
      <c r="AU12" s="128" t="s">
        <v>111</v>
      </c>
      <c r="AV12" s="127" t="s">
        <v>109</v>
      </c>
      <c r="AW12" s="127" t="s">
        <v>112</v>
      </c>
      <c r="AX12" s="128" t="s">
        <v>110</v>
      </c>
      <c r="AY12" s="128" t="s">
        <v>111</v>
      </c>
      <c r="AZ12" s="127" t="s">
        <v>109</v>
      </c>
      <c r="BA12" s="325"/>
      <c r="BB12" s="350"/>
      <c r="BC12" s="352"/>
      <c r="BD12" s="352"/>
      <c r="BE12" s="320"/>
      <c r="BF12" s="320"/>
      <c r="BG12" s="320"/>
      <c r="BH12" s="350"/>
      <c r="BI12" s="352"/>
      <c r="BJ12" s="352"/>
      <c r="BK12" s="320"/>
      <c r="BL12" s="320"/>
      <c r="BM12" s="320"/>
      <c r="BN12" s="350"/>
      <c r="BO12" s="352"/>
      <c r="BP12" s="352"/>
      <c r="BQ12" s="320"/>
      <c r="BR12" s="320"/>
      <c r="BS12" s="320"/>
      <c r="BT12" s="350"/>
      <c r="BU12" s="352"/>
      <c r="BV12" s="352"/>
      <c r="BW12" s="320"/>
      <c r="BX12" s="320"/>
      <c r="BY12" s="320"/>
      <c r="BZ12" s="350"/>
      <c r="CA12" s="352"/>
      <c r="CB12" s="352"/>
      <c r="CC12" s="320"/>
      <c r="CD12" s="320"/>
      <c r="CE12" s="320"/>
      <c r="CF12" s="350"/>
      <c r="CG12" s="352"/>
      <c r="CH12" s="352"/>
      <c r="CI12" s="320"/>
      <c r="CJ12" s="320"/>
      <c r="CK12" s="320"/>
      <c r="CL12" s="350"/>
      <c r="CM12" s="352"/>
      <c r="CN12" s="352"/>
      <c r="CO12" s="320"/>
      <c r="CP12" s="320"/>
      <c r="CQ12" s="320"/>
      <c r="CR12" s="350"/>
      <c r="CS12" s="352"/>
      <c r="CT12" s="352"/>
      <c r="CU12" s="320"/>
      <c r="CV12" s="320"/>
      <c r="CW12" s="320"/>
      <c r="CX12" s="299"/>
      <c r="CY12" s="352"/>
      <c r="CZ12" s="352"/>
      <c r="DA12" s="320"/>
      <c r="DB12" s="320"/>
      <c r="DC12" s="320"/>
      <c r="DD12" s="299"/>
      <c r="DE12" s="299"/>
      <c r="DF12" s="299"/>
      <c r="DG12" s="299"/>
    </row>
    <row r="13" spans="1:111" ht="25.5" hidden="1" customHeight="1">
      <c r="A13" s="105" t="s">
        <v>201</v>
      </c>
      <c r="B13" s="106" t="s">
        <v>202</v>
      </c>
      <c r="C13" s="105" t="s">
        <v>203</v>
      </c>
      <c r="D13" s="106" t="s">
        <v>204</v>
      </c>
      <c r="E13" s="105" t="s">
        <v>205</v>
      </c>
      <c r="F13" s="106" t="s">
        <v>206</v>
      </c>
      <c r="G13" s="105" t="s">
        <v>207</v>
      </c>
      <c r="H13" s="106" t="s">
        <v>208</v>
      </c>
      <c r="I13" s="105" t="s">
        <v>209</v>
      </c>
      <c r="J13" s="106" t="s">
        <v>210</v>
      </c>
      <c r="K13" s="105" t="s">
        <v>211</v>
      </c>
      <c r="L13" s="106" t="s">
        <v>309</v>
      </c>
      <c r="M13" s="282" t="s">
        <v>310</v>
      </c>
      <c r="N13" s="105" t="s">
        <v>212</v>
      </c>
      <c r="O13" s="106" t="s">
        <v>213</v>
      </c>
      <c r="P13" s="105" t="s">
        <v>214</v>
      </c>
      <c r="Q13" s="106" t="s">
        <v>311</v>
      </c>
      <c r="R13" s="286" t="s">
        <v>312</v>
      </c>
      <c r="S13" s="290" t="s">
        <v>215</v>
      </c>
      <c r="T13" s="105" t="s">
        <v>217</v>
      </c>
      <c r="U13" s="106" t="s">
        <v>216</v>
      </c>
      <c r="V13" s="105" t="s">
        <v>218</v>
      </c>
      <c r="W13" s="106" t="s">
        <v>219</v>
      </c>
      <c r="X13" s="291" t="s">
        <v>220</v>
      </c>
      <c r="Y13" s="105" t="s">
        <v>221</v>
      </c>
      <c r="Z13" s="105" t="s">
        <v>222</v>
      </c>
      <c r="AA13" s="106" t="s">
        <v>223</v>
      </c>
      <c r="AB13" s="105" t="s">
        <v>224</v>
      </c>
      <c r="AC13" s="106" t="s">
        <v>225</v>
      </c>
      <c r="AD13" s="105" t="s">
        <v>226</v>
      </c>
      <c r="AE13" s="106" t="s">
        <v>227</v>
      </c>
      <c r="AF13" s="105" t="s">
        <v>228</v>
      </c>
      <c r="AG13" s="106" t="s">
        <v>229</v>
      </c>
      <c r="AH13" s="105" t="s">
        <v>230</v>
      </c>
      <c r="AI13" s="106" t="s">
        <v>231</v>
      </c>
      <c r="AJ13" s="105" t="s">
        <v>232</v>
      </c>
      <c r="AK13" s="106" t="s">
        <v>233</v>
      </c>
      <c r="AL13" s="105" t="s">
        <v>234</v>
      </c>
      <c r="AM13" s="106" t="s">
        <v>236</v>
      </c>
      <c r="AN13" s="105" t="s">
        <v>235</v>
      </c>
      <c r="AO13" s="106" t="s">
        <v>237</v>
      </c>
      <c r="AP13" s="105" t="s">
        <v>238</v>
      </c>
      <c r="AQ13" s="106" t="s">
        <v>239</v>
      </c>
      <c r="AR13" s="105" t="s">
        <v>240</v>
      </c>
      <c r="AS13" s="106" t="s">
        <v>241</v>
      </c>
      <c r="AT13" s="105" t="s">
        <v>242</v>
      </c>
      <c r="AU13" s="106" t="s">
        <v>243</v>
      </c>
      <c r="AV13" s="105" t="s">
        <v>244</v>
      </c>
      <c r="AW13" s="106" t="s">
        <v>245</v>
      </c>
      <c r="AX13" s="105" t="s">
        <v>246</v>
      </c>
      <c r="AY13" s="106" t="s">
        <v>247</v>
      </c>
      <c r="AZ13" s="105" t="s">
        <v>248</v>
      </c>
      <c r="BA13" s="106" t="s">
        <v>313</v>
      </c>
      <c r="BB13" s="105" t="s">
        <v>249</v>
      </c>
      <c r="BC13" s="106" t="s">
        <v>251</v>
      </c>
      <c r="BD13" s="105" t="s">
        <v>250</v>
      </c>
      <c r="BE13" s="106" t="s">
        <v>252</v>
      </c>
      <c r="BF13" s="105" t="s">
        <v>253</v>
      </c>
      <c r="BG13" s="106" t="s">
        <v>254</v>
      </c>
      <c r="BH13" s="105" t="s">
        <v>255</v>
      </c>
      <c r="BI13" s="106" t="s">
        <v>256</v>
      </c>
      <c r="BJ13" s="105" t="s">
        <v>257</v>
      </c>
      <c r="BK13" s="106" t="s">
        <v>258</v>
      </c>
      <c r="BL13" s="105" t="s">
        <v>259</v>
      </c>
      <c r="BM13" s="106" t="s">
        <v>260</v>
      </c>
      <c r="BN13" s="105" t="s">
        <v>261</v>
      </c>
      <c r="BO13" s="106" t="s">
        <v>262</v>
      </c>
      <c r="BP13" s="105" t="s">
        <v>263</v>
      </c>
      <c r="BQ13" s="106" t="s">
        <v>264</v>
      </c>
      <c r="BR13" s="105" t="s">
        <v>265</v>
      </c>
      <c r="BS13" s="106" t="s">
        <v>266</v>
      </c>
      <c r="BT13" s="105" t="s">
        <v>267</v>
      </c>
      <c r="BU13" s="106" t="s">
        <v>268</v>
      </c>
      <c r="BV13" s="105" t="s">
        <v>269</v>
      </c>
      <c r="BW13" s="106" t="s">
        <v>270</v>
      </c>
      <c r="BX13" s="105" t="s">
        <v>271</v>
      </c>
      <c r="BY13" s="106" t="s">
        <v>272</v>
      </c>
      <c r="BZ13" s="105" t="s">
        <v>273</v>
      </c>
      <c r="CA13" s="106" t="s">
        <v>274</v>
      </c>
      <c r="CB13" s="105" t="s">
        <v>275</v>
      </c>
      <c r="CC13" s="106" t="s">
        <v>276</v>
      </c>
      <c r="CD13" s="105" t="s">
        <v>277</v>
      </c>
      <c r="CE13" s="106" t="s">
        <v>278</v>
      </c>
      <c r="CF13" s="105" t="s">
        <v>279</v>
      </c>
      <c r="CG13" s="106" t="s">
        <v>280</v>
      </c>
      <c r="CH13" s="105" t="s">
        <v>281</v>
      </c>
      <c r="CI13" s="106" t="s">
        <v>282</v>
      </c>
      <c r="CJ13" s="105" t="s">
        <v>283</v>
      </c>
      <c r="CK13" s="106" t="s">
        <v>284</v>
      </c>
      <c r="CL13" s="105" t="s">
        <v>285</v>
      </c>
      <c r="CM13" s="106" t="s">
        <v>286</v>
      </c>
      <c r="CN13" s="105" t="s">
        <v>287</v>
      </c>
      <c r="CO13" s="106" t="s">
        <v>288</v>
      </c>
      <c r="CP13" s="105" t="s">
        <v>289</v>
      </c>
      <c r="CQ13" s="106" t="s">
        <v>290</v>
      </c>
      <c r="CR13" s="105" t="s">
        <v>291</v>
      </c>
      <c r="CS13" s="106" t="s">
        <v>292</v>
      </c>
      <c r="CT13" s="105" t="s">
        <v>293</v>
      </c>
      <c r="CU13" s="106" t="s">
        <v>294</v>
      </c>
      <c r="CV13" s="105" t="s">
        <v>295</v>
      </c>
      <c r="CW13" s="106" t="s">
        <v>296</v>
      </c>
      <c r="CX13" s="105" t="s">
        <v>297</v>
      </c>
      <c r="CY13" s="106" t="s">
        <v>298</v>
      </c>
      <c r="CZ13" s="105" t="s">
        <v>299</v>
      </c>
      <c r="DA13" s="106" t="s">
        <v>300</v>
      </c>
      <c r="DB13" s="105" t="s">
        <v>301</v>
      </c>
      <c r="DC13" s="106" t="s">
        <v>302</v>
      </c>
      <c r="DD13" s="105" t="s">
        <v>303</v>
      </c>
      <c r="DE13" s="106" t="s">
        <v>304</v>
      </c>
      <c r="DF13" s="105" t="s">
        <v>305</v>
      </c>
      <c r="DG13" s="106" t="s">
        <v>306</v>
      </c>
    </row>
    <row r="14" spans="1:111" ht="19.95" customHeight="1">
      <c r="A14" s="104" t="s">
        <v>359</v>
      </c>
      <c r="B14" s="91"/>
      <c r="C14" s="91" t="s">
        <v>360</v>
      </c>
      <c r="D14" s="91" t="s">
        <v>361</v>
      </c>
      <c r="E14" s="91" t="s">
        <v>362</v>
      </c>
      <c r="F14" s="91" t="s">
        <v>363</v>
      </c>
      <c r="G14" s="91" t="s">
        <v>364</v>
      </c>
      <c r="H14" s="91" t="s">
        <v>365</v>
      </c>
      <c r="I14" s="90">
        <v>1</v>
      </c>
      <c r="J14" s="90"/>
      <c r="K14" s="90" t="s">
        <v>356</v>
      </c>
      <c r="L14" s="102" t="s">
        <v>357</v>
      </c>
      <c r="M14" s="284" t="s">
        <v>308</v>
      </c>
      <c r="N14" s="271">
        <v>1.5</v>
      </c>
      <c r="O14" s="90" t="s">
        <v>37</v>
      </c>
      <c r="P14" s="272">
        <v>21000</v>
      </c>
      <c r="Q14" s="272">
        <v>428400</v>
      </c>
      <c r="R14" s="6">
        <v>0</v>
      </c>
      <c r="S14" s="107">
        <f>Q14-R14</f>
        <v>428400</v>
      </c>
      <c r="T14" s="272">
        <v>428400</v>
      </c>
      <c r="U14" s="11" t="s">
        <v>372</v>
      </c>
      <c r="V14" s="108">
        <f>Q14-T14-R14</f>
        <v>0</v>
      </c>
      <c r="W14" s="12"/>
      <c r="X14" s="109">
        <f>R14+T14+V14</f>
        <v>428400</v>
      </c>
      <c r="Y14" s="110">
        <f>Q14</f>
        <v>428400</v>
      </c>
      <c r="Z14" s="276">
        <v>139</v>
      </c>
      <c r="AA14" s="276">
        <v>139</v>
      </c>
      <c r="AB14" s="95">
        <v>139</v>
      </c>
      <c r="AC14" s="95"/>
      <c r="AD14" s="95"/>
      <c r="AE14" s="95"/>
      <c r="AF14" s="272">
        <v>65000</v>
      </c>
      <c r="AG14" s="111">
        <f>ROUND(IF($O14="Ａ重油",AF14*1,IF($O14="灯油",AF14*0.939,IF($O14="ＬＰガス",AF14*1.299,IF($O14="ＬＮＧ",AF14*1.56)))),0)</f>
        <v>65000</v>
      </c>
      <c r="AH14" s="283">
        <v>55200</v>
      </c>
      <c r="AI14" s="111">
        <f t="shared" ref="AI14:AI54" si="0">ROUND(IF($O14="Ａ重油",AH14*1,IF($O14="灯油",AH14*0.939,IF($O14="ＬＰガス",AH14*1.299,IF($O14="ＬＮＧ",AH14*1.56)))),0)</f>
        <v>55200</v>
      </c>
      <c r="AJ14" s="272" t="s">
        <v>366</v>
      </c>
      <c r="AK14" s="272"/>
      <c r="AL14" s="272"/>
      <c r="AM14" s="96">
        <v>3</v>
      </c>
      <c r="AN14" s="94">
        <v>139</v>
      </c>
      <c r="AO14" s="94"/>
      <c r="AP14" s="94"/>
      <c r="AQ14" s="97"/>
      <c r="AR14" s="94"/>
      <c r="AS14" s="94"/>
      <c r="AT14" s="94"/>
      <c r="AU14" s="94"/>
      <c r="AV14" s="97"/>
      <c r="AW14" s="97"/>
      <c r="AX14" s="94"/>
      <c r="AY14" s="94"/>
      <c r="AZ14" s="97"/>
      <c r="BA14" s="261"/>
      <c r="BB14" s="112">
        <f t="shared" ref="BB14:BB29" si="1">VLOOKUP($O14,$BE$4:$BF$7,2,0)</f>
        <v>20</v>
      </c>
      <c r="BC14" s="142">
        <f>SUMIFS(購入実績入力シート[購入数量],購入実績入力シート[対象月],'管理シート（本体）'!BB$8,購入実績入力シート[氏名],管理シート[[#This Row],[氏名]],購入実績入力シート[燃料別],管理シート[[#This Row],[燃料別]])</f>
        <v>1000</v>
      </c>
      <c r="BD14" s="114">
        <f>VLOOKUP($O14,BE$4:BG$7,3,0)*BC14</f>
        <v>700</v>
      </c>
      <c r="BE14" s="162">
        <f>SUM(BF14:BG14)</f>
        <v>14000</v>
      </c>
      <c r="BF14" s="162">
        <f>ROUNDDOWN(BB14*BD14*1/2,0)</f>
        <v>7000</v>
      </c>
      <c r="BG14" s="162">
        <f>ROUNDDOWN(BB14*BD14*1/2,0)</f>
        <v>7000</v>
      </c>
      <c r="BH14" s="115">
        <f t="shared" ref="BH14:BH29" si="2">VLOOKUP($O14,$BK$4:$BL$7,2,0)</f>
        <v>0</v>
      </c>
      <c r="BI14" s="143">
        <f>SUMIFS(購入実績入力シート[購入数量],購入実績入力シート[対象月],'管理シート（本体）'!BH$8,購入実績入力シート[氏名],管理シート[[#This Row],[氏名]],購入実績入力シート[燃料別],管理シート[[#This Row],[燃料別]])</f>
        <v>0</v>
      </c>
      <c r="BJ14" s="114">
        <f t="shared" ref="BJ14:BJ29" si="3">VLOOKUP($O14,BK$4:BM$7,3,0)*BI14</f>
        <v>0</v>
      </c>
      <c r="BK14" s="162">
        <f>SUM(BL14:BM14)</f>
        <v>0</v>
      </c>
      <c r="BL14" s="162">
        <f>ROUNDDOWN(BH14*BJ14*1/2,0)</f>
        <v>0</v>
      </c>
      <c r="BM14" s="162">
        <f>ROUNDDOWN(BH14*BJ14*1/2,0)</f>
        <v>0</v>
      </c>
      <c r="BN14" s="115">
        <f t="shared" ref="BN14:BN29" si="4">VLOOKUP($O14,$BQ$4:$BR$7,2,0)</f>
        <v>0</v>
      </c>
      <c r="BO14" s="143">
        <f>SUMIFS(購入実績入力シート[購入数量],購入実績入力シート[対象月],'管理シート（本体）'!BN$8,購入実績入力シート[氏名],管理シート[[#This Row],[氏名]],購入実績入力シート[燃料別],管理シート[[#This Row],[燃料別]])</f>
        <v>0</v>
      </c>
      <c r="BP14" s="114">
        <f t="shared" ref="BP14:BP29" si="5">VLOOKUP($O14,BQ$4:BS$7,3,0)*BO14</f>
        <v>0</v>
      </c>
      <c r="BQ14" s="162">
        <f>SUM(BR14:BS14)</f>
        <v>0</v>
      </c>
      <c r="BR14" s="162">
        <f>ROUNDDOWN(BN14*BP14*1/2,0)</f>
        <v>0</v>
      </c>
      <c r="BS14" s="162">
        <f>ROUNDDOWN(BN14*BP14*1/2,0)</f>
        <v>0</v>
      </c>
      <c r="BT14" s="115">
        <f t="shared" ref="BT14:BT29" si="6">VLOOKUP($O14,$BW$4:$BX$7,2,0)</f>
        <v>0</v>
      </c>
      <c r="BU14" s="143">
        <f>SUMIFS(購入実績入力シート[購入数量],購入実績入力シート[対象月],'管理シート（本体）'!BT$8,購入実績入力シート[氏名],管理シート[[#This Row],[氏名]],購入実績入力シート[燃料別],管理シート[[#This Row],[燃料別]])</f>
        <v>0</v>
      </c>
      <c r="BV14" s="114">
        <f t="shared" ref="BV14:BV29" si="7">VLOOKUP($O14,BW$4:BY$7,3,0)*BU14</f>
        <v>0</v>
      </c>
      <c r="BW14" s="162">
        <f>SUM(BX14:BY14)</f>
        <v>0</v>
      </c>
      <c r="BX14" s="162">
        <f t="shared" ref="BX14:BX29" si="8">ROUNDDOWN(BT14*BV14*1/2,0)</f>
        <v>0</v>
      </c>
      <c r="BY14" s="162">
        <f t="shared" ref="BY14:BY29" si="9">ROUNDDOWN(BT14*BV14*1/2,0)</f>
        <v>0</v>
      </c>
      <c r="BZ14" s="115">
        <f t="shared" ref="BZ14:BZ29" si="10">VLOOKUP($O14,$CC$4:$CD$7,2,0)</f>
        <v>0</v>
      </c>
      <c r="CA14" s="143">
        <f>SUMIFS(購入実績入力シート[購入数量],購入実績入力シート[対象月],'管理シート（本体）'!BZ$8,購入実績入力シート[氏名],管理シート[[#This Row],[氏名]],購入実績入力シート[燃料別],管理シート[[#This Row],[燃料別]])</f>
        <v>0</v>
      </c>
      <c r="CB14" s="114">
        <f t="shared" ref="CB14:CB29" si="11">VLOOKUP($O14,CC$4:CE$7,3,0)*CA14</f>
        <v>0</v>
      </c>
      <c r="CC14" s="162">
        <f>SUM(CD14:CE14)</f>
        <v>0</v>
      </c>
      <c r="CD14" s="162">
        <f>ROUNDDOWN(BZ14*CB14*1/2,0)</f>
        <v>0</v>
      </c>
      <c r="CE14" s="162">
        <f>ROUNDDOWN(BZ14*CB14*1/2,0)</f>
        <v>0</v>
      </c>
      <c r="CF14" s="113">
        <f t="shared" ref="CF14:CF29" si="12">VLOOKUP($O14,$CI$4:$CJ$7,2,0)</f>
        <v>0</v>
      </c>
      <c r="CG14" s="143">
        <f>SUMIFS(購入実績入力シート[購入数量],購入実績入力シート[対象月],'管理シート（本体）'!CF$8,購入実績入力シート[氏名],管理シート[[#This Row],[氏名]],購入実績入力シート[燃料別],管理シート[[#This Row],[燃料別]])</f>
        <v>0</v>
      </c>
      <c r="CH14" s="114">
        <f t="shared" ref="CH14:CH29" si="13">VLOOKUP($O14,CI$4:CK$7,3,0)*CG14</f>
        <v>0</v>
      </c>
      <c r="CI14" s="162">
        <f>SUM(CJ14:CK14)</f>
        <v>0</v>
      </c>
      <c r="CJ14" s="162">
        <f>ROUNDDOWN(CF14*CH14*1/2,0)</f>
        <v>0</v>
      </c>
      <c r="CK14" s="162">
        <f>ROUNDDOWN(CF14*CH14*1/2,0)</f>
        <v>0</v>
      </c>
      <c r="CL14" s="113">
        <f t="shared" ref="CL14:CL29" si="14">VLOOKUP($O14,$CO$4:$CP$7,2,0)</f>
        <v>0</v>
      </c>
      <c r="CM14" s="143">
        <f>SUMIFS(購入実績入力シート[購入数量],購入実績入力シート[対象月],'管理シート（本体）'!CL$8,購入実績入力シート[氏名],管理シート[[#This Row],[氏名]],購入実績入力シート[燃料別],管理シート[[#This Row],[燃料別]])</f>
        <v>0</v>
      </c>
      <c r="CN14" s="114">
        <f t="shared" ref="CN14:CN29" si="15">VLOOKUP($O14,CO$4:CQ$7,3,0)*CM14</f>
        <v>0</v>
      </c>
      <c r="CO14" s="162">
        <f>SUM(CP14:CQ14)</f>
        <v>0</v>
      </c>
      <c r="CP14" s="162">
        <f>ROUNDDOWN(CL14*CN14*1/2,0)</f>
        <v>0</v>
      </c>
      <c r="CQ14" s="162">
        <f>ROUNDDOWN(CL14*CN14*1/2,0)</f>
        <v>0</v>
      </c>
      <c r="CR14" s="113">
        <f t="shared" ref="CR14:CR29" si="16">VLOOKUP($O14,$CU$4:$CV$7,2,0)</f>
        <v>0</v>
      </c>
      <c r="CS14" s="143">
        <f>SUMIFS(購入実績入力シート[購入数量],購入実績入力シート[対象月],'管理シート（本体）'!CR$8,購入実績入力シート[氏名],管理シート[[#This Row],[氏名]],購入実績入力シート[燃料別],管理シート[[#This Row],[燃料別]])</f>
        <v>0</v>
      </c>
      <c r="CT14" s="114">
        <f t="shared" ref="CT14:CT29" si="17">VLOOKUP($O14,CU$4:CW$7,3,0)*CS14</f>
        <v>0</v>
      </c>
      <c r="CU14" s="162">
        <f>SUM(CV14:CW14)</f>
        <v>0</v>
      </c>
      <c r="CV14" s="162">
        <f t="shared" ref="CV14:CV29" si="18">ROUNDDOWN(CR14*CT14*1/2,0)</f>
        <v>0</v>
      </c>
      <c r="CW14" s="162">
        <f t="shared" ref="CW14:CW29" si="19">ROUNDDOWN(CR14*CT14*1/2,0)</f>
        <v>0</v>
      </c>
      <c r="CX14" s="113">
        <f t="shared" ref="CX14:CX29" si="20">VLOOKUP($O14,$DA$4:$DB$7,2,0)</f>
        <v>0</v>
      </c>
      <c r="CY14" s="143">
        <f>SUMIFS(購入実績入力シート[購入数量],購入実績入力シート[対象月],'管理シート（本体）'!CX$8,購入実績入力シート[氏名],管理シート[[#This Row],[氏名]],購入実績入力シート[燃料別],管理シート[[#This Row],[燃料別]])</f>
        <v>0</v>
      </c>
      <c r="CZ14" s="114">
        <f t="shared" ref="CZ14:CZ29" si="21">VLOOKUP($O14,DA$4:DC$7,3,0)*CY14</f>
        <v>0</v>
      </c>
      <c r="DA14" s="162">
        <f>SUM(DB14:DC14)</f>
        <v>0</v>
      </c>
      <c r="DB14" s="162">
        <f>ROUNDDOWN(CX14*CZ14*1/2,0)</f>
        <v>0</v>
      </c>
      <c r="DC14" s="162">
        <f t="shared" ref="DC14:DC29" si="22">ROUNDDOWN(CX14*CZ14*1/2,0)</f>
        <v>0</v>
      </c>
      <c r="DD14" s="108">
        <f t="shared" ref="DD14:DD29" si="23">BF14+BL14+BR14+BX14+CD14+CJ14+CP14+CV14+DB14</f>
        <v>7000</v>
      </c>
      <c r="DE14" s="108">
        <f t="shared" ref="DE14:DE54" si="24">Q14-DD14</f>
        <v>421400</v>
      </c>
      <c r="DF14" s="98"/>
      <c r="DG14" s="174">
        <f t="shared" ref="DG14:DG29" si="25">SUM(BA14,BC14,BI14,BO14,BU14,CA14,CG14,CM14,CS14,CY14)</f>
        <v>1000</v>
      </c>
    </row>
    <row r="15" spans="1:111" ht="19.95" customHeight="1">
      <c r="A15" s="176" t="str">
        <f>A$14</f>
        <v>山梨県水田畑作農業再生協議会</v>
      </c>
      <c r="B15" s="176">
        <f t="shared" ref="B15:H30" si="26">B$14</f>
        <v>0</v>
      </c>
      <c r="C15" s="176" t="str">
        <f t="shared" si="26"/>
        <v>団体A</v>
      </c>
      <c r="D15" s="176" t="str">
        <f t="shared" si="26"/>
        <v>会長　○○　○○</v>
      </c>
      <c r="E15" s="176" t="str">
        <f t="shared" si="26"/>
        <v>000-0000</v>
      </c>
      <c r="F15" s="176" t="str">
        <f t="shared" si="26"/>
        <v>甲府市○○</v>
      </c>
      <c r="G15" s="176" t="str">
        <f t="shared" si="26"/>
        <v>R6～R8</v>
      </c>
      <c r="H15" s="176" t="str">
        <f t="shared" si="26"/>
        <v>10月～翌６月</v>
      </c>
      <c r="I15" s="90">
        <v>2</v>
      </c>
      <c r="J15" s="90"/>
      <c r="K15" s="90" t="s">
        <v>316</v>
      </c>
      <c r="L15" s="102"/>
      <c r="M15" s="285"/>
      <c r="N15" s="271"/>
      <c r="O15" s="90"/>
      <c r="P15" s="272"/>
      <c r="Q15" s="272"/>
      <c r="R15" s="6"/>
      <c r="S15" s="107">
        <f>Q15-R15</f>
        <v>0</v>
      </c>
      <c r="T15" s="272"/>
      <c r="U15" s="11"/>
      <c r="V15" s="108">
        <f>Q15-T15-R15</f>
        <v>0</v>
      </c>
      <c r="W15" s="12"/>
      <c r="X15" s="109">
        <f t="shared" ref="X15" si="27">R15+T15+V15</f>
        <v>0</v>
      </c>
      <c r="Y15" s="110">
        <f t="shared" ref="Y15:Y29" si="28">Q15</f>
        <v>0</v>
      </c>
      <c r="Z15" s="276"/>
      <c r="AA15" s="276"/>
      <c r="AB15" s="95"/>
      <c r="AC15" s="95"/>
      <c r="AD15" s="95"/>
      <c r="AE15" s="95"/>
      <c r="AF15" s="94"/>
      <c r="AG15" s="111">
        <f t="shared" ref="AG15:AG54" si="29">ROUND(IF($O15="Ａ重油",AF15*1,IF($O15="灯油",AF15*0.939,IF($O15="ＬＰガス",AF15*1.299,IF($O15="ＬＮＧ",AF15*1.56)))),0)</f>
        <v>0</v>
      </c>
      <c r="AH15" s="96"/>
      <c r="AI15" s="111">
        <f t="shared" si="0"/>
        <v>0</v>
      </c>
      <c r="AJ15" s="96"/>
      <c r="AK15" s="96"/>
      <c r="AL15" s="96"/>
      <c r="AM15" s="94"/>
      <c r="AN15" s="94"/>
      <c r="AO15" s="100"/>
      <c r="AP15" s="100"/>
      <c r="AQ15" s="101"/>
      <c r="AR15" s="94"/>
      <c r="AS15" s="94"/>
      <c r="AT15" s="100"/>
      <c r="AU15" s="100"/>
      <c r="AV15" s="101"/>
      <c r="AW15" s="101"/>
      <c r="AX15" s="100"/>
      <c r="AY15" s="100"/>
      <c r="AZ15" s="101"/>
      <c r="BA15" s="261"/>
      <c r="BB15" s="113" t="e">
        <f t="shared" si="1"/>
        <v>#N/A</v>
      </c>
      <c r="BC15" s="142">
        <f>SUMIFS(購入実績入力シート[購入数量],購入実績入力シート[対象月],'管理シート（本体）'!BB$8,購入実績入力シート[氏名],管理シート[[#This Row],[氏名]],購入実績入力シート[燃料別],管理シート[[#This Row],[燃料別]])</f>
        <v>0</v>
      </c>
      <c r="BD15" s="114" t="e">
        <f t="shared" ref="BD15:BD29" si="30">VLOOKUP($O15,BE$4:BG$7,3,0)*BC15</f>
        <v>#N/A</v>
      </c>
      <c r="BE15" s="162" t="e">
        <f>SUM(BF15:BG15)</f>
        <v>#N/A</v>
      </c>
      <c r="BF15" s="162" t="e">
        <f>ROUNDDOWN(BB15*BD15*1/2,0)</f>
        <v>#N/A</v>
      </c>
      <c r="BG15" s="162" t="e">
        <f t="shared" ref="BG15:BG18" si="31">ROUNDDOWN(BB15*BD15*1/2,0)</f>
        <v>#N/A</v>
      </c>
      <c r="BH15" s="113" t="e">
        <f t="shared" si="2"/>
        <v>#N/A</v>
      </c>
      <c r="BI15" s="144">
        <f>SUMIFS(購入実績入力シート[購入数量],購入実績入力シート[対象月],'管理シート（本体）'!BH$8,購入実績入力シート[氏名],管理シート[[#This Row],[氏名]],購入実績入力シート[燃料別],管理シート[[#This Row],[燃料別]])</f>
        <v>0</v>
      </c>
      <c r="BJ15" s="114" t="e">
        <f t="shared" si="3"/>
        <v>#N/A</v>
      </c>
      <c r="BK15" s="162" t="e">
        <f t="shared" ref="BK15:BK16" si="32">SUM(BL15:BM15)</f>
        <v>#N/A</v>
      </c>
      <c r="BL15" s="162" t="e">
        <f t="shared" ref="BL15:BL16" si="33">ROUNDDOWN(BH15*BJ15*1/2,0)</f>
        <v>#N/A</v>
      </c>
      <c r="BM15" s="162" t="e">
        <f t="shared" ref="BM15:BM29" si="34">ROUNDDOWN(BH15*BJ15*1/2,0)</f>
        <v>#N/A</v>
      </c>
      <c r="BN15" s="113" t="e">
        <f t="shared" si="4"/>
        <v>#N/A</v>
      </c>
      <c r="BO15" s="144">
        <f>SUMIFS(購入実績入力シート[購入数量],購入実績入力シート[対象月],'管理シート（本体）'!BN$8,購入実績入力シート[氏名],管理シート[[#This Row],[氏名]],購入実績入力シート[燃料別],管理シート[[#This Row],[燃料別]])</f>
        <v>0</v>
      </c>
      <c r="BP15" s="114" t="e">
        <f t="shared" si="5"/>
        <v>#N/A</v>
      </c>
      <c r="BQ15" s="162" t="e">
        <f t="shared" ref="BQ15:BQ29" si="35">SUM(BR15:BS15)</f>
        <v>#N/A</v>
      </c>
      <c r="BR15" s="162" t="e">
        <f t="shared" ref="BR15:BR29" si="36">ROUNDDOWN(BN15*BP15*1/2,0)</f>
        <v>#N/A</v>
      </c>
      <c r="BS15" s="162" t="e">
        <f t="shared" ref="BS15:BS29" si="37">ROUNDDOWN(BN15*BP15*1/2,0)</f>
        <v>#N/A</v>
      </c>
      <c r="BT15" s="113" t="e">
        <f t="shared" si="6"/>
        <v>#N/A</v>
      </c>
      <c r="BU15" s="144">
        <f>SUMIFS(購入実績入力シート[購入数量],購入実績入力シート[対象月],'管理シート（本体）'!BT$8,購入実績入力シート[氏名],管理シート[[#This Row],[氏名]],購入実績入力シート[燃料別],管理シート[[#This Row],[燃料別]])</f>
        <v>0</v>
      </c>
      <c r="BV15" s="114" t="e">
        <f t="shared" si="7"/>
        <v>#N/A</v>
      </c>
      <c r="BW15" s="162" t="e">
        <f t="shared" ref="BW15:BW29" si="38">SUM(BX15:BY15)</f>
        <v>#N/A</v>
      </c>
      <c r="BX15" s="162" t="e">
        <f t="shared" si="8"/>
        <v>#N/A</v>
      </c>
      <c r="BY15" s="162" t="e">
        <f t="shared" si="9"/>
        <v>#N/A</v>
      </c>
      <c r="BZ15" s="113" t="e">
        <f t="shared" si="10"/>
        <v>#N/A</v>
      </c>
      <c r="CA15" s="144">
        <f>SUMIFS(購入実績入力シート[購入数量],購入実績入力シート[対象月],'管理シート（本体）'!BZ$8,購入実績入力シート[氏名],管理シート[[#This Row],[氏名]],購入実績入力シート[燃料別],管理シート[[#This Row],[燃料別]])</f>
        <v>0</v>
      </c>
      <c r="CB15" s="114" t="e">
        <f t="shared" si="11"/>
        <v>#N/A</v>
      </c>
      <c r="CC15" s="162" t="e">
        <f t="shared" ref="CC15:CC54" si="39">SUM(CD15:CE15)</f>
        <v>#N/A</v>
      </c>
      <c r="CD15" s="162" t="e">
        <f t="shared" ref="CD15:CD29" si="40">ROUNDDOWN(BZ15*CB15*1/2,0)</f>
        <v>#N/A</v>
      </c>
      <c r="CE15" s="162" t="e">
        <f t="shared" ref="CE15:CE29" si="41">ROUNDDOWN(BZ15*CB15*1/2,0)</f>
        <v>#N/A</v>
      </c>
      <c r="CF15" s="113" t="e">
        <f t="shared" si="12"/>
        <v>#N/A</v>
      </c>
      <c r="CG15" s="144">
        <f>SUMIFS(購入実績入力シート[購入数量],購入実績入力シート[対象月],'管理シート（本体）'!CF$8,購入実績入力シート[氏名],管理シート[[#This Row],[氏名]],購入実績入力シート[燃料別],管理シート[[#This Row],[燃料別]])</f>
        <v>0</v>
      </c>
      <c r="CH15" s="114" t="e">
        <f t="shared" si="13"/>
        <v>#N/A</v>
      </c>
      <c r="CI15" s="162" t="e">
        <f t="shared" ref="CI15:CI29" si="42">SUM(CJ15:CK15)</f>
        <v>#N/A</v>
      </c>
      <c r="CJ15" s="162" t="e">
        <f t="shared" ref="CJ15:CJ29" si="43">ROUNDDOWN(CF15*CH15*1/2,0)</f>
        <v>#N/A</v>
      </c>
      <c r="CK15" s="162" t="e">
        <f t="shared" ref="CK15:CK29" si="44">ROUNDDOWN(CF15*CH15*1/2,0)</f>
        <v>#N/A</v>
      </c>
      <c r="CL15" s="113" t="e">
        <f t="shared" si="14"/>
        <v>#N/A</v>
      </c>
      <c r="CM15" s="144">
        <f>SUMIFS(購入実績入力シート[購入数量],購入実績入力シート[対象月],'管理シート（本体）'!CL$8,購入実績入力シート[氏名],管理シート[[#This Row],[氏名]],購入実績入力シート[燃料別],管理シート[[#This Row],[燃料別]])</f>
        <v>0</v>
      </c>
      <c r="CN15" s="114" t="e">
        <f t="shared" si="15"/>
        <v>#N/A</v>
      </c>
      <c r="CO15" s="162" t="e">
        <f t="shared" ref="CO15:CO29" si="45">SUM(CP15:CQ15)</f>
        <v>#N/A</v>
      </c>
      <c r="CP15" s="162" t="e">
        <f t="shared" ref="CP15:CP29" si="46">ROUNDDOWN(CL15*CN15*1/2,0)</f>
        <v>#N/A</v>
      </c>
      <c r="CQ15" s="162" t="e">
        <f t="shared" ref="CQ15:CQ29" si="47">ROUNDDOWN(CL15*CN15*1/2,0)</f>
        <v>#N/A</v>
      </c>
      <c r="CR15" s="113" t="e">
        <f t="shared" si="16"/>
        <v>#N/A</v>
      </c>
      <c r="CS15" s="144">
        <f>SUMIFS(購入実績入力シート[購入数量],購入実績入力シート[対象月],'管理シート（本体）'!CR$8,購入実績入力シート[氏名],管理シート[[#This Row],[氏名]],購入実績入力シート[燃料別],管理シート[[#This Row],[燃料別]])</f>
        <v>0</v>
      </c>
      <c r="CT15" s="114" t="e">
        <f t="shared" si="17"/>
        <v>#N/A</v>
      </c>
      <c r="CU15" s="162" t="e">
        <f t="shared" ref="CU15:CU29" si="48">SUM(CV15:CW15)</f>
        <v>#N/A</v>
      </c>
      <c r="CV15" s="162" t="e">
        <f t="shared" si="18"/>
        <v>#N/A</v>
      </c>
      <c r="CW15" s="162" t="e">
        <f t="shared" si="19"/>
        <v>#N/A</v>
      </c>
      <c r="CX15" s="113" t="e">
        <f t="shared" si="20"/>
        <v>#N/A</v>
      </c>
      <c r="CY15" s="144">
        <f>SUMIFS(購入実績入力シート[購入数量],購入実績入力シート[対象月],'管理シート（本体）'!CX$8,購入実績入力シート[氏名],管理シート[[#This Row],[氏名]],購入実績入力シート[燃料別],管理シート[[#This Row],[燃料別]])</f>
        <v>0</v>
      </c>
      <c r="CZ15" s="114" t="e">
        <f t="shared" si="21"/>
        <v>#N/A</v>
      </c>
      <c r="DA15" s="162" t="e">
        <f t="shared" ref="DA15:DA52" si="49">SUM(DB15:DC15)</f>
        <v>#N/A</v>
      </c>
      <c r="DB15" s="162" t="e">
        <f t="shared" ref="DB15:DB29" si="50">ROUNDDOWN(CX15*CZ15*1/2,0)</f>
        <v>#N/A</v>
      </c>
      <c r="DC15" s="162" t="e">
        <f t="shared" si="22"/>
        <v>#N/A</v>
      </c>
      <c r="DD15" s="108" t="e">
        <f t="shared" si="23"/>
        <v>#N/A</v>
      </c>
      <c r="DE15" s="108" t="e">
        <f t="shared" si="24"/>
        <v>#N/A</v>
      </c>
      <c r="DF15" s="94"/>
      <c r="DG15" s="174">
        <f t="shared" si="25"/>
        <v>0</v>
      </c>
    </row>
    <row r="16" spans="1:111" ht="19.95" customHeight="1">
      <c r="A16" s="176" t="str">
        <f t="shared" ref="A16:H54" si="51">A$14</f>
        <v>山梨県水田畑作農業再生協議会</v>
      </c>
      <c r="B16" s="176">
        <f t="shared" si="26"/>
        <v>0</v>
      </c>
      <c r="C16" s="176" t="str">
        <f t="shared" si="26"/>
        <v>団体A</v>
      </c>
      <c r="D16" s="176" t="str">
        <f t="shared" si="26"/>
        <v>会長　○○　○○</v>
      </c>
      <c r="E16" s="176" t="str">
        <f t="shared" si="26"/>
        <v>000-0000</v>
      </c>
      <c r="F16" s="176" t="str">
        <f t="shared" si="26"/>
        <v>甲府市○○</v>
      </c>
      <c r="G16" s="176" t="str">
        <f t="shared" si="26"/>
        <v>R6～R8</v>
      </c>
      <c r="H16" s="176" t="str">
        <f t="shared" si="26"/>
        <v>10月～翌６月</v>
      </c>
      <c r="I16" s="90">
        <v>3</v>
      </c>
      <c r="J16" s="90"/>
      <c r="K16" s="90" t="s">
        <v>317</v>
      </c>
      <c r="L16" s="102"/>
      <c r="M16" s="285"/>
      <c r="N16" s="271"/>
      <c r="O16" s="90"/>
      <c r="P16" s="272"/>
      <c r="Q16" s="272"/>
      <c r="R16" s="6"/>
      <c r="S16" s="107">
        <f t="shared" ref="S16:S29" si="52">Q16-R16</f>
        <v>0</v>
      </c>
      <c r="T16" s="272"/>
      <c r="U16" s="11"/>
      <c r="V16" s="108">
        <f>Q16-T16-R16</f>
        <v>0</v>
      </c>
      <c r="W16" s="12"/>
      <c r="X16" s="109">
        <f>R16+T16+V16</f>
        <v>0</v>
      </c>
      <c r="Y16" s="110">
        <f t="shared" si="28"/>
        <v>0</v>
      </c>
      <c r="Z16" s="276"/>
      <c r="AA16" s="276"/>
      <c r="AB16" s="95"/>
      <c r="AC16" s="95"/>
      <c r="AD16" s="95"/>
      <c r="AE16" s="95"/>
      <c r="AF16" s="94"/>
      <c r="AG16" s="111">
        <f t="shared" si="29"/>
        <v>0</v>
      </c>
      <c r="AH16" s="96"/>
      <c r="AI16" s="111">
        <f t="shared" si="0"/>
        <v>0</v>
      </c>
      <c r="AJ16" s="94"/>
      <c r="AK16" s="94"/>
      <c r="AL16" s="94"/>
      <c r="AM16" s="94"/>
      <c r="AN16" s="94"/>
      <c r="AO16" s="94"/>
      <c r="AP16" s="94"/>
      <c r="AQ16" s="97"/>
      <c r="AR16" s="94"/>
      <c r="AS16" s="94"/>
      <c r="AT16" s="94"/>
      <c r="AU16" s="94"/>
      <c r="AV16" s="97"/>
      <c r="AW16" s="97"/>
      <c r="AX16" s="94"/>
      <c r="AY16" s="94"/>
      <c r="AZ16" s="97"/>
      <c r="BA16" s="261"/>
      <c r="BB16" s="113" t="e">
        <f t="shared" si="1"/>
        <v>#N/A</v>
      </c>
      <c r="BC16" s="142">
        <f>SUMIFS(購入実績入力シート[購入数量],購入実績入力シート[対象月],'管理シート（本体）'!BB$8,購入実績入力シート[氏名],管理シート[[#This Row],[氏名]],購入実績入力シート[燃料別],管理シート[[#This Row],[燃料別]])</f>
        <v>0</v>
      </c>
      <c r="BD16" s="114" t="e">
        <f t="shared" si="30"/>
        <v>#N/A</v>
      </c>
      <c r="BE16" s="162" t="e">
        <f t="shared" ref="BE16:BE29" si="53">SUM(BF16:BG16)</f>
        <v>#N/A</v>
      </c>
      <c r="BF16" s="162" t="e">
        <f t="shared" ref="BF16:BF20" si="54">ROUNDDOWN(BB16*BD16*1/2,0)</f>
        <v>#N/A</v>
      </c>
      <c r="BG16" s="162" t="e">
        <f t="shared" si="31"/>
        <v>#N/A</v>
      </c>
      <c r="BH16" s="113" t="e">
        <f t="shared" si="2"/>
        <v>#N/A</v>
      </c>
      <c r="BI16" s="144">
        <f>SUMIFS(購入実績入力シート[購入数量],購入実績入力シート[対象月],'管理シート（本体）'!BH$8,購入実績入力シート[氏名],管理シート[[#This Row],[氏名]],購入実績入力シート[燃料別],管理シート[[#This Row],[燃料別]])</f>
        <v>0</v>
      </c>
      <c r="BJ16" s="114" t="e">
        <f t="shared" si="3"/>
        <v>#N/A</v>
      </c>
      <c r="BK16" s="162" t="e">
        <f t="shared" si="32"/>
        <v>#N/A</v>
      </c>
      <c r="BL16" s="162" t="e">
        <f t="shared" si="33"/>
        <v>#N/A</v>
      </c>
      <c r="BM16" s="162" t="e">
        <f t="shared" si="34"/>
        <v>#N/A</v>
      </c>
      <c r="BN16" s="113" t="e">
        <f t="shared" si="4"/>
        <v>#N/A</v>
      </c>
      <c r="BO16" s="144">
        <f>SUMIFS(購入実績入力シート[購入数量],購入実績入力シート[対象月],'管理シート（本体）'!BN$8,購入実績入力シート[氏名],管理シート[[#This Row],[氏名]],購入実績入力シート[燃料別],管理シート[[#This Row],[燃料別]])</f>
        <v>0</v>
      </c>
      <c r="BP16" s="114" t="e">
        <f t="shared" si="5"/>
        <v>#N/A</v>
      </c>
      <c r="BQ16" s="162" t="e">
        <f t="shared" si="35"/>
        <v>#N/A</v>
      </c>
      <c r="BR16" s="162" t="e">
        <f t="shared" si="36"/>
        <v>#N/A</v>
      </c>
      <c r="BS16" s="162" t="e">
        <f t="shared" si="37"/>
        <v>#N/A</v>
      </c>
      <c r="BT16" s="113" t="e">
        <f t="shared" si="6"/>
        <v>#N/A</v>
      </c>
      <c r="BU16" s="144">
        <f>SUMIFS(購入実績入力シート[購入数量],購入実績入力シート[対象月],'管理シート（本体）'!BT$8,購入実績入力シート[氏名],管理シート[[#This Row],[氏名]],購入実績入力シート[燃料別],管理シート[[#This Row],[燃料別]])</f>
        <v>0</v>
      </c>
      <c r="BV16" s="114" t="e">
        <f t="shared" si="7"/>
        <v>#N/A</v>
      </c>
      <c r="BW16" s="162" t="e">
        <f t="shared" si="38"/>
        <v>#N/A</v>
      </c>
      <c r="BX16" s="162" t="e">
        <f t="shared" si="8"/>
        <v>#N/A</v>
      </c>
      <c r="BY16" s="162" t="e">
        <f t="shared" si="9"/>
        <v>#N/A</v>
      </c>
      <c r="BZ16" s="113" t="e">
        <f t="shared" si="10"/>
        <v>#N/A</v>
      </c>
      <c r="CA16" s="144">
        <f>SUMIFS(購入実績入力シート[購入数量],購入実績入力シート[対象月],'管理シート（本体）'!BZ$8,購入実績入力シート[氏名],管理シート[[#This Row],[氏名]],購入実績入力シート[燃料別],管理シート[[#This Row],[燃料別]])</f>
        <v>0</v>
      </c>
      <c r="CB16" s="114" t="e">
        <f t="shared" si="11"/>
        <v>#N/A</v>
      </c>
      <c r="CC16" s="162" t="e">
        <f t="shared" si="39"/>
        <v>#N/A</v>
      </c>
      <c r="CD16" s="162" t="e">
        <f t="shared" si="40"/>
        <v>#N/A</v>
      </c>
      <c r="CE16" s="162" t="e">
        <f t="shared" si="41"/>
        <v>#N/A</v>
      </c>
      <c r="CF16" s="113" t="e">
        <f t="shared" si="12"/>
        <v>#N/A</v>
      </c>
      <c r="CG16" s="144">
        <f>SUMIFS(購入実績入力シート[購入数量],購入実績入力シート[対象月],'管理シート（本体）'!CF$8,購入実績入力シート[氏名],管理シート[[#This Row],[氏名]],購入実績入力シート[燃料別],管理シート[[#This Row],[燃料別]])</f>
        <v>0</v>
      </c>
      <c r="CH16" s="114" t="e">
        <f t="shared" si="13"/>
        <v>#N/A</v>
      </c>
      <c r="CI16" s="162" t="e">
        <f t="shared" si="42"/>
        <v>#N/A</v>
      </c>
      <c r="CJ16" s="162" t="e">
        <f t="shared" si="43"/>
        <v>#N/A</v>
      </c>
      <c r="CK16" s="162" t="e">
        <f t="shared" si="44"/>
        <v>#N/A</v>
      </c>
      <c r="CL16" s="113" t="e">
        <f t="shared" si="14"/>
        <v>#N/A</v>
      </c>
      <c r="CM16" s="144">
        <f>SUMIFS(購入実績入力シート[購入数量],購入実績入力シート[対象月],'管理シート（本体）'!CL$8,購入実績入力シート[氏名],管理シート[[#This Row],[氏名]],購入実績入力シート[燃料別],管理シート[[#This Row],[燃料別]])</f>
        <v>0</v>
      </c>
      <c r="CN16" s="114" t="e">
        <f t="shared" si="15"/>
        <v>#N/A</v>
      </c>
      <c r="CO16" s="162" t="e">
        <f t="shared" si="45"/>
        <v>#N/A</v>
      </c>
      <c r="CP16" s="162" t="e">
        <f t="shared" si="46"/>
        <v>#N/A</v>
      </c>
      <c r="CQ16" s="162" t="e">
        <f t="shared" si="47"/>
        <v>#N/A</v>
      </c>
      <c r="CR16" s="113" t="e">
        <f t="shared" si="16"/>
        <v>#N/A</v>
      </c>
      <c r="CS16" s="144">
        <f>SUMIFS(購入実績入力シート[購入数量],購入実績入力シート[対象月],'管理シート（本体）'!CR$8,購入実績入力シート[氏名],管理シート[[#This Row],[氏名]],購入実績入力シート[燃料別],管理シート[[#This Row],[燃料別]])</f>
        <v>0</v>
      </c>
      <c r="CT16" s="114" t="e">
        <f t="shared" si="17"/>
        <v>#N/A</v>
      </c>
      <c r="CU16" s="162" t="e">
        <f t="shared" si="48"/>
        <v>#N/A</v>
      </c>
      <c r="CV16" s="162" t="e">
        <f t="shared" si="18"/>
        <v>#N/A</v>
      </c>
      <c r="CW16" s="162" t="e">
        <f t="shared" si="19"/>
        <v>#N/A</v>
      </c>
      <c r="CX16" s="113" t="e">
        <f t="shared" si="20"/>
        <v>#N/A</v>
      </c>
      <c r="CY16" s="144">
        <f>SUMIFS(購入実績入力シート[購入数量],購入実績入力シート[対象月],'管理シート（本体）'!CX$8,購入実績入力シート[氏名],管理シート[[#This Row],[氏名]],購入実績入力シート[燃料別],管理シート[[#This Row],[燃料別]])</f>
        <v>0</v>
      </c>
      <c r="CZ16" s="114" t="e">
        <f t="shared" si="21"/>
        <v>#N/A</v>
      </c>
      <c r="DA16" s="162" t="e">
        <f t="shared" si="49"/>
        <v>#N/A</v>
      </c>
      <c r="DB16" s="162" t="e">
        <f t="shared" si="50"/>
        <v>#N/A</v>
      </c>
      <c r="DC16" s="162" t="e">
        <f t="shared" si="22"/>
        <v>#N/A</v>
      </c>
      <c r="DD16" s="108" t="e">
        <f t="shared" si="23"/>
        <v>#N/A</v>
      </c>
      <c r="DE16" s="108" t="e">
        <f t="shared" si="24"/>
        <v>#N/A</v>
      </c>
      <c r="DF16" s="94"/>
      <c r="DG16" s="174">
        <f t="shared" si="25"/>
        <v>0</v>
      </c>
    </row>
    <row r="17" spans="1:111" ht="19.95" customHeight="1">
      <c r="A17" s="176" t="str">
        <f t="shared" si="51"/>
        <v>山梨県水田畑作農業再生協議会</v>
      </c>
      <c r="B17" s="176">
        <f t="shared" si="26"/>
        <v>0</v>
      </c>
      <c r="C17" s="176" t="str">
        <f t="shared" si="26"/>
        <v>団体A</v>
      </c>
      <c r="D17" s="176" t="str">
        <f t="shared" si="26"/>
        <v>会長　○○　○○</v>
      </c>
      <c r="E17" s="176" t="str">
        <f t="shared" si="26"/>
        <v>000-0000</v>
      </c>
      <c r="F17" s="176" t="str">
        <f t="shared" si="26"/>
        <v>甲府市○○</v>
      </c>
      <c r="G17" s="176" t="str">
        <f t="shared" si="26"/>
        <v>R6～R8</v>
      </c>
      <c r="H17" s="176" t="str">
        <f t="shared" si="26"/>
        <v>10月～翌６月</v>
      </c>
      <c r="I17" s="90">
        <v>4</v>
      </c>
      <c r="J17" s="90"/>
      <c r="K17" s="90" t="s">
        <v>318</v>
      </c>
      <c r="L17" s="102"/>
      <c r="M17" s="285"/>
      <c r="N17" s="271"/>
      <c r="O17" s="90"/>
      <c r="P17" s="272"/>
      <c r="Q17" s="272"/>
      <c r="R17" s="6"/>
      <c r="S17" s="107">
        <f t="shared" si="52"/>
        <v>0</v>
      </c>
      <c r="T17" s="272"/>
      <c r="U17" s="262"/>
      <c r="V17" s="111">
        <f t="shared" ref="V17:V29" si="55">Q17-T17-R17</f>
        <v>0</v>
      </c>
      <c r="W17" s="263"/>
      <c r="X17" s="109">
        <f t="shared" ref="X17:X29" si="56">R17+T17+V17</f>
        <v>0</v>
      </c>
      <c r="Y17" s="110">
        <f t="shared" si="28"/>
        <v>0</v>
      </c>
      <c r="Z17" s="276"/>
      <c r="AA17" s="276"/>
      <c r="AB17" s="95"/>
      <c r="AC17" s="95"/>
      <c r="AD17" s="95"/>
      <c r="AE17" s="95"/>
      <c r="AF17" s="94"/>
      <c r="AG17" s="111">
        <f t="shared" si="29"/>
        <v>0</v>
      </c>
      <c r="AH17" s="96"/>
      <c r="AI17" s="111">
        <f t="shared" si="0"/>
        <v>0</v>
      </c>
      <c r="AJ17" s="96"/>
      <c r="AK17" s="96"/>
      <c r="AL17" s="96"/>
      <c r="AM17" s="94"/>
      <c r="AN17" s="94"/>
      <c r="AO17" s="100"/>
      <c r="AP17" s="100"/>
      <c r="AQ17" s="101"/>
      <c r="AR17" s="94"/>
      <c r="AS17" s="94"/>
      <c r="AT17" s="100"/>
      <c r="AU17" s="100"/>
      <c r="AV17" s="101"/>
      <c r="AW17" s="101"/>
      <c r="AX17" s="100"/>
      <c r="AY17" s="100"/>
      <c r="AZ17" s="101"/>
      <c r="BA17" s="261"/>
      <c r="BB17" s="113" t="e">
        <f t="shared" si="1"/>
        <v>#N/A</v>
      </c>
      <c r="BC17" s="142">
        <f>SUMIFS(購入実績入力シート[購入数量],購入実績入力シート[対象月],'管理シート（本体）'!BB$8,購入実績入力シート[氏名],管理シート[[#This Row],[氏名]],購入実績入力シート[燃料別],管理シート[[#This Row],[燃料別]])</f>
        <v>0</v>
      </c>
      <c r="BD17" s="114" t="e">
        <f t="shared" si="30"/>
        <v>#N/A</v>
      </c>
      <c r="BE17" s="162" t="e">
        <f t="shared" si="53"/>
        <v>#N/A</v>
      </c>
      <c r="BF17" s="162" t="e">
        <f t="shared" si="54"/>
        <v>#N/A</v>
      </c>
      <c r="BG17" s="162" t="e">
        <f t="shared" si="31"/>
        <v>#N/A</v>
      </c>
      <c r="BH17" s="113" t="e">
        <f t="shared" si="2"/>
        <v>#N/A</v>
      </c>
      <c r="BI17" s="144">
        <f>SUMIFS(購入実績入力シート[購入数量],購入実績入力シート[対象月],'管理シート（本体）'!BH$8,購入実績入力シート[氏名],管理シート[[#This Row],[氏名]],購入実績入力シート[燃料別],管理シート[[#This Row],[燃料別]])</f>
        <v>0</v>
      </c>
      <c r="BJ17" s="114" t="e">
        <f t="shared" si="3"/>
        <v>#N/A</v>
      </c>
      <c r="BK17" s="162" t="e">
        <f>SUM(BL17:BM17)</f>
        <v>#N/A</v>
      </c>
      <c r="BL17" s="162" t="e">
        <f>ROUNDDOWN(BH17*BJ17*1/2,0)</f>
        <v>#N/A</v>
      </c>
      <c r="BM17" s="162" t="e">
        <f t="shared" si="34"/>
        <v>#N/A</v>
      </c>
      <c r="BN17" s="113" t="e">
        <f t="shared" si="4"/>
        <v>#N/A</v>
      </c>
      <c r="BO17" s="144">
        <f>SUMIFS(購入実績入力シート[購入数量],購入実績入力シート[対象月],'管理シート（本体）'!BN$8,購入実績入力シート[氏名],管理シート[[#This Row],[氏名]],購入実績入力シート[燃料別],管理シート[[#This Row],[燃料別]])</f>
        <v>0</v>
      </c>
      <c r="BP17" s="114" t="e">
        <f t="shared" si="5"/>
        <v>#N/A</v>
      </c>
      <c r="BQ17" s="162" t="e">
        <f t="shared" si="35"/>
        <v>#N/A</v>
      </c>
      <c r="BR17" s="162" t="e">
        <f t="shared" si="36"/>
        <v>#N/A</v>
      </c>
      <c r="BS17" s="162" t="e">
        <f t="shared" si="37"/>
        <v>#N/A</v>
      </c>
      <c r="BT17" s="113" t="e">
        <f t="shared" si="6"/>
        <v>#N/A</v>
      </c>
      <c r="BU17" s="144">
        <f>SUMIFS(購入実績入力シート[購入数量],購入実績入力シート[対象月],'管理シート（本体）'!BT$8,購入実績入力シート[氏名],管理シート[[#This Row],[氏名]],購入実績入力シート[燃料別],管理シート[[#This Row],[燃料別]])</f>
        <v>0</v>
      </c>
      <c r="BV17" s="114" t="e">
        <f t="shared" si="7"/>
        <v>#N/A</v>
      </c>
      <c r="BW17" s="162" t="e">
        <f t="shared" si="38"/>
        <v>#N/A</v>
      </c>
      <c r="BX17" s="162" t="e">
        <f t="shared" si="8"/>
        <v>#N/A</v>
      </c>
      <c r="BY17" s="162" t="e">
        <f t="shared" si="9"/>
        <v>#N/A</v>
      </c>
      <c r="BZ17" s="113" t="e">
        <f t="shared" si="10"/>
        <v>#N/A</v>
      </c>
      <c r="CA17" s="144">
        <f>SUMIFS(購入実績入力シート[購入数量],購入実績入力シート[対象月],'管理シート（本体）'!BZ$8,購入実績入力シート[氏名],管理シート[[#This Row],[氏名]],購入実績入力シート[燃料別],管理シート[[#This Row],[燃料別]])</f>
        <v>0</v>
      </c>
      <c r="CB17" s="114" t="e">
        <f t="shared" si="11"/>
        <v>#N/A</v>
      </c>
      <c r="CC17" s="162" t="e">
        <f t="shared" si="39"/>
        <v>#N/A</v>
      </c>
      <c r="CD17" s="162" t="e">
        <f t="shared" si="40"/>
        <v>#N/A</v>
      </c>
      <c r="CE17" s="162" t="e">
        <f t="shared" si="41"/>
        <v>#N/A</v>
      </c>
      <c r="CF17" s="113" t="e">
        <f t="shared" si="12"/>
        <v>#N/A</v>
      </c>
      <c r="CG17" s="144">
        <f>SUMIFS(購入実績入力シート[購入数量],購入実績入力シート[対象月],'管理シート（本体）'!CF$8,購入実績入力シート[氏名],管理シート[[#This Row],[氏名]],購入実績入力シート[燃料別],管理シート[[#This Row],[燃料別]])</f>
        <v>0</v>
      </c>
      <c r="CH17" s="114" t="e">
        <f t="shared" si="13"/>
        <v>#N/A</v>
      </c>
      <c r="CI17" s="162" t="e">
        <f t="shared" si="42"/>
        <v>#N/A</v>
      </c>
      <c r="CJ17" s="162" t="e">
        <f t="shared" si="43"/>
        <v>#N/A</v>
      </c>
      <c r="CK17" s="162" t="e">
        <f t="shared" si="44"/>
        <v>#N/A</v>
      </c>
      <c r="CL17" s="113" t="e">
        <f t="shared" si="14"/>
        <v>#N/A</v>
      </c>
      <c r="CM17" s="144">
        <f>SUMIFS(購入実績入力シート[購入数量],購入実績入力シート[対象月],'管理シート（本体）'!CL$8,購入実績入力シート[氏名],管理シート[[#This Row],[氏名]],購入実績入力シート[燃料別],管理シート[[#This Row],[燃料別]])</f>
        <v>0</v>
      </c>
      <c r="CN17" s="114" t="e">
        <f t="shared" si="15"/>
        <v>#N/A</v>
      </c>
      <c r="CO17" s="162" t="e">
        <f t="shared" si="45"/>
        <v>#N/A</v>
      </c>
      <c r="CP17" s="162" t="e">
        <f t="shared" si="46"/>
        <v>#N/A</v>
      </c>
      <c r="CQ17" s="162" t="e">
        <f t="shared" si="47"/>
        <v>#N/A</v>
      </c>
      <c r="CR17" s="113" t="e">
        <f t="shared" si="16"/>
        <v>#N/A</v>
      </c>
      <c r="CS17" s="144">
        <f>SUMIFS(購入実績入力シート[購入数量],購入実績入力シート[対象月],'管理シート（本体）'!CR$8,購入実績入力シート[氏名],管理シート[[#This Row],[氏名]],購入実績入力シート[燃料別],管理シート[[#This Row],[燃料別]])</f>
        <v>0</v>
      </c>
      <c r="CT17" s="114" t="e">
        <f t="shared" si="17"/>
        <v>#N/A</v>
      </c>
      <c r="CU17" s="162" t="e">
        <f t="shared" si="48"/>
        <v>#N/A</v>
      </c>
      <c r="CV17" s="162" t="e">
        <f t="shared" si="18"/>
        <v>#N/A</v>
      </c>
      <c r="CW17" s="162" t="e">
        <f t="shared" si="19"/>
        <v>#N/A</v>
      </c>
      <c r="CX17" s="113" t="e">
        <f t="shared" si="20"/>
        <v>#N/A</v>
      </c>
      <c r="CY17" s="144">
        <f>SUMIFS(購入実績入力シート[購入数量],購入実績入力シート[対象月],'管理シート（本体）'!CX$8,購入実績入力シート[氏名],管理シート[[#This Row],[氏名]],購入実績入力シート[燃料別],管理シート[[#This Row],[燃料別]])</f>
        <v>0</v>
      </c>
      <c r="CZ17" s="114" t="e">
        <f t="shared" si="21"/>
        <v>#N/A</v>
      </c>
      <c r="DA17" s="162" t="e">
        <f t="shared" si="49"/>
        <v>#N/A</v>
      </c>
      <c r="DB17" s="162" t="e">
        <f t="shared" si="50"/>
        <v>#N/A</v>
      </c>
      <c r="DC17" s="162" t="e">
        <f t="shared" si="22"/>
        <v>#N/A</v>
      </c>
      <c r="DD17" s="108" t="e">
        <f t="shared" si="23"/>
        <v>#N/A</v>
      </c>
      <c r="DE17" s="108" t="e">
        <f t="shared" si="24"/>
        <v>#N/A</v>
      </c>
      <c r="DF17" s="94"/>
      <c r="DG17" s="174">
        <f t="shared" si="25"/>
        <v>0</v>
      </c>
    </row>
    <row r="18" spans="1:111" ht="19.95" customHeight="1">
      <c r="A18" s="176" t="str">
        <f t="shared" si="51"/>
        <v>山梨県水田畑作農業再生協議会</v>
      </c>
      <c r="B18" s="176">
        <f t="shared" si="26"/>
        <v>0</v>
      </c>
      <c r="C18" s="176" t="str">
        <f t="shared" si="26"/>
        <v>団体A</v>
      </c>
      <c r="D18" s="176" t="str">
        <f t="shared" si="26"/>
        <v>会長　○○　○○</v>
      </c>
      <c r="E18" s="176" t="str">
        <f t="shared" si="26"/>
        <v>000-0000</v>
      </c>
      <c r="F18" s="176" t="str">
        <f t="shared" si="26"/>
        <v>甲府市○○</v>
      </c>
      <c r="G18" s="176" t="str">
        <f t="shared" si="26"/>
        <v>R6～R8</v>
      </c>
      <c r="H18" s="176" t="str">
        <f t="shared" si="26"/>
        <v>10月～翌６月</v>
      </c>
      <c r="I18" s="90">
        <v>5</v>
      </c>
      <c r="J18" s="90"/>
      <c r="K18" s="90" t="s">
        <v>319</v>
      </c>
      <c r="L18" s="102"/>
      <c r="M18" s="285"/>
      <c r="N18" s="271"/>
      <c r="O18" s="90"/>
      <c r="P18" s="272"/>
      <c r="Q18" s="272"/>
      <c r="R18" s="6"/>
      <c r="S18" s="107">
        <f t="shared" si="52"/>
        <v>0</v>
      </c>
      <c r="T18" s="272"/>
      <c r="U18" s="11"/>
      <c r="V18" s="108">
        <f>Q18-T18-R18</f>
        <v>0</v>
      </c>
      <c r="W18" s="12"/>
      <c r="X18" s="109">
        <f t="shared" si="56"/>
        <v>0</v>
      </c>
      <c r="Y18" s="110">
        <f t="shared" si="28"/>
        <v>0</v>
      </c>
      <c r="Z18" s="276"/>
      <c r="AA18" s="276"/>
      <c r="AB18" s="95"/>
      <c r="AC18" s="95"/>
      <c r="AD18" s="95"/>
      <c r="AE18" s="95"/>
      <c r="AF18" s="96"/>
      <c r="AG18" s="111">
        <f t="shared" si="29"/>
        <v>0</v>
      </c>
      <c r="AH18" s="96"/>
      <c r="AI18" s="111">
        <f t="shared" si="0"/>
        <v>0</v>
      </c>
      <c r="AJ18" s="94"/>
      <c r="AK18" s="94"/>
      <c r="AL18" s="94"/>
      <c r="AM18" s="94"/>
      <c r="AN18" s="94"/>
      <c r="AO18" s="94"/>
      <c r="AP18" s="94"/>
      <c r="AQ18" s="97"/>
      <c r="AR18" s="94"/>
      <c r="AS18" s="94"/>
      <c r="AT18" s="94"/>
      <c r="AU18" s="94"/>
      <c r="AV18" s="97"/>
      <c r="AW18" s="97"/>
      <c r="AX18" s="94"/>
      <c r="AY18" s="94"/>
      <c r="AZ18" s="97"/>
      <c r="BA18" s="261"/>
      <c r="BB18" s="113" t="e">
        <f t="shared" si="1"/>
        <v>#N/A</v>
      </c>
      <c r="BC18" s="142">
        <f>SUMIFS(購入実績入力シート[購入数量],購入実績入力シート[対象月],'管理シート（本体）'!BB$8,購入実績入力シート[氏名],管理シート[[#This Row],[氏名]],購入実績入力シート[燃料別],管理シート[[#This Row],[燃料別]])</f>
        <v>0</v>
      </c>
      <c r="BD18" s="114" t="e">
        <f t="shared" si="30"/>
        <v>#N/A</v>
      </c>
      <c r="BE18" s="162" t="e">
        <f t="shared" si="53"/>
        <v>#N/A</v>
      </c>
      <c r="BF18" s="162" t="e">
        <f t="shared" si="54"/>
        <v>#N/A</v>
      </c>
      <c r="BG18" s="162" t="e">
        <f t="shared" si="31"/>
        <v>#N/A</v>
      </c>
      <c r="BH18" s="113" t="e">
        <f t="shared" si="2"/>
        <v>#N/A</v>
      </c>
      <c r="BI18" s="144">
        <f>SUMIFS(購入実績入力シート[購入数量],購入実績入力シート[対象月],'管理シート（本体）'!BH$8,購入実績入力シート[氏名],管理シート[[#This Row],[氏名]],購入実績入力シート[燃料別],管理シート[[#This Row],[燃料別]])</f>
        <v>0</v>
      </c>
      <c r="BJ18" s="114" t="e">
        <f t="shared" si="3"/>
        <v>#N/A</v>
      </c>
      <c r="BK18" s="162" t="e">
        <f t="shared" ref="BK18:BK54" si="57">SUM(BL18:BM18)</f>
        <v>#N/A</v>
      </c>
      <c r="BL18" s="162" t="e">
        <f t="shared" ref="BL18:BL29" si="58">ROUNDDOWN(BH18*BJ18*1/2,0)</f>
        <v>#N/A</v>
      </c>
      <c r="BM18" s="162" t="e">
        <f t="shared" si="34"/>
        <v>#N/A</v>
      </c>
      <c r="BN18" s="113" t="e">
        <f t="shared" si="4"/>
        <v>#N/A</v>
      </c>
      <c r="BO18" s="144">
        <f>SUMIFS(購入実績入力シート[購入数量],購入実績入力シート[対象月],'管理シート（本体）'!BN$8,購入実績入力シート[氏名],管理シート[[#This Row],[氏名]],購入実績入力シート[燃料別],管理シート[[#This Row],[燃料別]])</f>
        <v>0</v>
      </c>
      <c r="BP18" s="114" t="e">
        <f t="shared" si="5"/>
        <v>#N/A</v>
      </c>
      <c r="BQ18" s="162" t="e">
        <f t="shared" si="35"/>
        <v>#N/A</v>
      </c>
      <c r="BR18" s="162" t="e">
        <f t="shared" si="36"/>
        <v>#N/A</v>
      </c>
      <c r="BS18" s="162" t="e">
        <f t="shared" si="37"/>
        <v>#N/A</v>
      </c>
      <c r="BT18" s="113" t="e">
        <f t="shared" si="6"/>
        <v>#N/A</v>
      </c>
      <c r="BU18" s="144">
        <f>SUMIFS(購入実績入力シート[購入数量],購入実績入力シート[対象月],'管理シート（本体）'!BT$8,購入実績入力シート[氏名],管理シート[[#This Row],[氏名]],購入実績入力シート[燃料別],管理シート[[#This Row],[燃料別]])</f>
        <v>0</v>
      </c>
      <c r="BV18" s="114" t="e">
        <f t="shared" si="7"/>
        <v>#N/A</v>
      </c>
      <c r="BW18" s="162" t="e">
        <f t="shared" si="38"/>
        <v>#N/A</v>
      </c>
      <c r="BX18" s="162" t="e">
        <f t="shared" si="8"/>
        <v>#N/A</v>
      </c>
      <c r="BY18" s="162" t="e">
        <f t="shared" si="9"/>
        <v>#N/A</v>
      </c>
      <c r="BZ18" s="113" t="e">
        <f t="shared" si="10"/>
        <v>#N/A</v>
      </c>
      <c r="CA18" s="144">
        <f>SUMIFS(購入実績入力シート[購入数量],購入実績入力シート[対象月],'管理シート（本体）'!BZ$8,購入実績入力シート[氏名],管理シート[[#This Row],[氏名]],購入実績入力シート[燃料別],管理シート[[#This Row],[燃料別]])</f>
        <v>0</v>
      </c>
      <c r="CB18" s="114" t="e">
        <f t="shared" si="11"/>
        <v>#N/A</v>
      </c>
      <c r="CC18" s="162" t="e">
        <f t="shared" si="39"/>
        <v>#N/A</v>
      </c>
      <c r="CD18" s="162" t="e">
        <f t="shared" si="40"/>
        <v>#N/A</v>
      </c>
      <c r="CE18" s="162" t="e">
        <f t="shared" si="41"/>
        <v>#N/A</v>
      </c>
      <c r="CF18" s="113" t="e">
        <f t="shared" si="12"/>
        <v>#N/A</v>
      </c>
      <c r="CG18" s="144">
        <f>SUMIFS(購入実績入力シート[購入数量],購入実績入力シート[対象月],'管理シート（本体）'!CF$8,購入実績入力シート[氏名],管理シート[[#This Row],[氏名]],購入実績入力シート[燃料別],管理シート[[#This Row],[燃料別]])</f>
        <v>0</v>
      </c>
      <c r="CH18" s="114" t="e">
        <f t="shared" si="13"/>
        <v>#N/A</v>
      </c>
      <c r="CI18" s="162" t="e">
        <f t="shared" si="42"/>
        <v>#N/A</v>
      </c>
      <c r="CJ18" s="162" t="e">
        <f t="shared" si="43"/>
        <v>#N/A</v>
      </c>
      <c r="CK18" s="162" t="e">
        <f t="shared" si="44"/>
        <v>#N/A</v>
      </c>
      <c r="CL18" s="113" t="e">
        <f t="shared" si="14"/>
        <v>#N/A</v>
      </c>
      <c r="CM18" s="144">
        <f>SUMIFS(購入実績入力シート[購入数量],購入実績入力シート[対象月],'管理シート（本体）'!CL$8,購入実績入力シート[氏名],管理シート[[#This Row],[氏名]],購入実績入力シート[燃料別],管理シート[[#This Row],[燃料別]])</f>
        <v>0</v>
      </c>
      <c r="CN18" s="114" t="e">
        <f t="shared" si="15"/>
        <v>#N/A</v>
      </c>
      <c r="CO18" s="162" t="e">
        <f t="shared" si="45"/>
        <v>#N/A</v>
      </c>
      <c r="CP18" s="162" t="e">
        <f t="shared" si="46"/>
        <v>#N/A</v>
      </c>
      <c r="CQ18" s="162" t="e">
        <f t="shared" si="47"/>
        <v>#N/A</v>
      </c>
      <c r="CR18" s="113" t="e">
        <f t="shared" si="16"/>
        <v>#N/A</v>
      </c>
      <c r="CS18" s="144">
        <f>SUMIFS(購入実績入力シート[購入数量],購入実績入力シート[対象月],'管理シート（本体）'!CR$8,購入実績入力シート[氏名],管理シート[[#This Row],[氏名]],購入実績入力シート[燃料別],管理シート[[#This Row],[燃料別]])</f>
        <v>0</v>
      </c>
      <c r="CT18" s="114" t="e">
        <f t="shared" si="17"/>
        <v>#N/A</v>
      </c>
      <c r="CU18" s="162" t="e">
        <f t="shared" si="48"/>
        <v>#N/A</v>
      </c>
      <c r="CV18" s="162" t="e">
        <f t="shared" si="18"/>
        <v>#N/A</v>
      </c>
      <c r="CW18" s="162" t="e">
        <f t="shared" si="19"/>
        <v>#N/A</v>
      </c>
      <c r="CX18" s="113" t="e">
        <f t="shared" si="20"/>
        <v>#N/A</v>
      </c>
      <c r="CY18" s="144">
        <f>SUMIFS(購入実績入力シート[購入数量],購入実績入力シート[対象月],'管理シート（本体）'!CX$8,購入実績入力シート[氏名],管理シート[[#This Row],[氏名]],購入実績入力シート[燃料別],管理シート[[#This Row],[燃料別]])</f>
        <v>0</v>
      </c>
      <c r="CZ18" s="114" t="e">
        <f t="shared" si="21"/>
        <v>#N/A</v>
      </c>
      <c r="DA18" s="162" t="e">
        <f t="shared" si="49"/>
        <v>#N/A</v>
      </c>
      <c r="DB18" s="162" t="e">
        <f t="shared" si="50"/>
        <v>#N/A</v>
      </c>
      <c r="DC18" s="162" t="e">
        <f t="shared" si="22"/>
        <v>#N/A</v>
      </c>
      <c r="DD18" s="108" t="e">
        <f t="shared" si="23"/>
        <v>#N/A</v>
      </c>
      <c r="DE18" s="108" t="e">
        <f t="shared" si="24"/>
        <v>#N/A</v>
      </c>
      <c r="DF18" s="94"/>
      <c r="DG18" s="174">
        <f t="shared" si="25"/>
        <v>0</v>
      </c>
    </row>
    <row r="19" spans="1:111" ht="19.95" customHeight="1">
      <c r="A19" s="176" t="str">
        <f t="shared" si="51"/>
        <v>山梨県水田畑作農業再生協議会</v>
      </c>
      <c r="B19" s="176">
        <f t="shared" si="26"/>
        <v>0</v>
      </c>
      <c r="C19" s="176" t="str">
        <f t="shared" si="26"/>
        <v>団体A</v>
      </c>
      <c r="D19" s="176" t="str">
        <f t="shared" si="26"/>
        <v>会長　○○　○○</v>
      </c>
      <c r="E19" s="176" t="str">
        <f t="shared" si="26"/>
        <v>000-0000</v>
      </c>
      <c r="F19" s="176" t="str">
        <f t="shared" si="26"/>
        <v>甲府市○○</v>
      </c>
      <c r="G19" s="176" t="str">
        <f t="shared" si="26"/>
        <v>R6～R8</v>
      </c>
      <c r="H19" s="176" t="str">
        <f t="shared" si="26"/>
        <v>10月～翌６月</v>
      </c>
      <c r="I19" s="90">
        <v>6</v>
      </c>
      <c r="J19" s="90"/>
      <c r="K19" s="90" t="s">
        <v>320</v>
      </c>
      <c r="L19" s="102"/>
      <c r="M19" s="285"/>
      <c r="N19" s="271"/>
      <c r="O19" s="90"/>
      <c r="P19" s="272"/>
      <c r="Q19" s="272"/>
      <c r="R19" s="6"/>
      <c r="S19" s="107">
        <f t="shared" si="52"/>
        <v>0</v>
      </c>
      <c r="T19" s="272"/>
      <c r="U19" s="11"/>
      <c r="V19" s="108">
        <f t="shared" si="55"/>
        <v>0</v>
      </c>
      <c r="W19" s="12"/>
      <c r="X19" s="109">
        <f t="shared" si="56"/>
        <v>0</v>
      </c>
      <c r="Y19" s="110">
        <f t="shared" si="28"/>
        <v>0</v>
      </c>
      <c r="Z19" s="276"/>
      <c r="AA19" s="276"/>
      <c r="AB19" s="95"/>
      <c r="AC19" s="95"/>
      <c r="AD19" s="95"/>
      <c r="AE19" s="95"/>
      <c r="AF19" s="94"/>
      <c r="AG19" s="111">
        <f t="shared" si="29"/>
        <v>0</v>
      </c>
      <c r="AH19" s="96"/>
      <c r="AI19" s="111">
        <f t="shared" si="0"/>
        <v>0</v>
      </c>
      <c r="AJ19" s="94"/>
      <c r="AK19" s="94"/>
      <c r="AL19" s="94"/>
      <c r="AM19" s="94"/>
      <c r="AN19" s="94"/>
      <c r="AO19" s="94"/>
      <c r="AP19" s="94"/>
      <c r="AQ19" s="97"/>
      <c r="AR19" s="94"/>
      <c r="AS19" s="94"/>
      <c r="AT19" s="94"/>
      <c r="AU19" s="94"/>
      <c r="AV19" s="97"/>
      <c r="AW19" s="97"/>
      <c r="AX19" s="94"/>
      <c r="AY19" s="94"/>
      <c r="AZ19" s="97"/>
      <c r="BA19" s="261"/>
      <c r="BB19" s="113" t="e">
        <f t="shared" si="1"/>
        <v>#N/A</v>
      </c>
      <c r="BC19" s="142">
        <f>SUMIFS(購入実績入力シート[購入数量],購入実績入力シート[対象月],'管理シート（本体）'!BB$8,購入実績入力シート[氏名],管理シート[[#This Row],[氏名]],購入実績入力シート[燃料別],管理シート[[#This Row],[燃料別]])</f>
        <v>0</v>
      </c>
      <c r="BD19" s="114" t="e">
        <f t="shared" si="30"/>
        <v>#N/A</v>
      </c>
      <c r="BE19" s="162" t="e">
        <f t="shared" si="53"/>
        <v>#N/A</v>
      </c>
      <c r="BF19" s="162" t="e">
        <f t="shared" si="54"/>
        <v>#N/A</v>
      </c>
      <c r="BG19" s="162" t="e">
        <f>ROUNDDOWN(BB19*BD19*1/2,0)</f>
        <v>#N/A</v>
      </c>
      <c r="BH19" s="113" t="e">
        <f t="shared" si="2"/>
        <v>#N/A</v>
      </c>
      <c r="BI19" s="144">
        <f>SUMIFS(購入実績入力シート[購入数量],購入実績入力シート[対象月],'管理シート（本体）'!BH$8,購入実績入力シート[氏名],管理シート[[#This Row],[氏名]],購入実績入力シート[燃料別],管理シート[[#This Row],[燃料別]])</f>
        <v>0</v>
      </c>
      <c r="BJ19" s="114" t="e">
        <f t="shared" si="3"/>
        <v>#N/A</v>
      </c>
      <c r="BK19" s="162" t="e">
        <f t="shared" si="57"/>
        <v>#N/A</v>
      </c>
      <c r="BL19" s="162" t="e">
        <f t="shared" si="58"/>
        <v>#N/A</v>
      </c>
      <c r="BM19" s="162" t="e">
        <f t="shared" si="34"/>
        <v>#N/A</v>
      </c>
      <c r="BN19" s="113" t="e">
        <f t="shared" si="4"/>
        <v>#N/A</v>
      </c>
      <c r="BO19" s="144">
        <f>SUMIFS(購入実績入力シート[購入数量],購入実績入力シート[対象月],'管理シート（本体）'!BN$8,購入実績入力シート[氏名],管理シート[[#This Row],[氏名]],購入実績入力シート[燃料別],管理シート[[#This Row],[燃料別]])</f>
        <v>0</v>
      </c>
      <c r="BP19" s="114" t="e">
        <f t="shared" si="5"/>
        <v>#N/A</v>
      </c>
      <c r="BQ19" s="162" t="e">
        <f t="shared" si="35"/>
        <v>#N/A</v>
      </c>
      <c r="BR19" s="162" t="e">
        <f t="shared" si="36"/>
        <v>#N/A</v>
      </c>
      <c r="BS19" s="162" t="e">
        <f t="shared" si="37"/>
        <v>#N/A</v>
      </c>
      <c r="BT19" s="113" t="e">
        <f t="shared" si="6"/>
        <v>#N/A</v>
      </c>
      <c r="BU19" s="144">
        <f>SUMIFS(購入実績入力シート[購入数量],購入実績入力シート[対象月],'管理シート（本体）'!BT$8,購入実績入力シート[氏名],管理シート[[#This Row],[氏名]],購入実績入力シート[燃料別],管理シート[[#This Row],[燃料別]])</f>
        <v>0</v>
      </c>
      <c r="BV19" s="114" t="e">
        <f t="shared" si="7"/>
        <v>#N/A</v>
      </c>
      <c r="BW19" s="162" t="e">
        <f t="shared" si="38"/>
        <v>#N/A</v>
      </c>
      <c r="BX19" s="162" t="e">
        <f t="shared" si="8"/>
        <v>#N/A</v>
      </c>
      <c r="BY19" s="162" t="e">
        <f t="shared" si="9"/>
        <v>#N/A</v>
      </c>
      <c r="BZ19" s="113" t="e">
        <f t="shared" si="10"/>
        <v>#N/A</v>
      </c>
      <c r="CA19" s="144">
        <f>SUMIFS(購入実績入力シート[購入数量],購入実績入力シート[対象月],'管理シート（本体）'!BZ$8,購入実績入力シート[氏名],管理シート[[#This Row],[氏名]],購入実績入力シート[燃料別],管理シート[[#This Row],[燃料別]])</f>
        <v>0</v>
      </c>
      <c r="CB19" s="114" t="e">
        <f t="shared" si="11"/>
        <v>#N/A</v>
      </c>
      <c r="CC19" s="162" t="e">
        <f t="shared" si="39"/>
        <v>#N/A</v>
      </c>
      <c r="CD19" s="162" t="e">
        <f t="shared" si="40"/>
        <v>#N/A</v>
      </c>
      <c r="CE19" s="162" t="e">
        <f t="shared" si="41"/>
        <v>#N/A</v>
      </c>
      <c r="CF19" s="113" t="e">
        <f t="shared" si="12"/>
        <v>#N/A</v>
      </c>
      <c r="CG19" s="144">
        <f>SUMIFS(購入実績入力シート[購入数量],購入実績入力シート[対象月],'管理シート（本体）'!CF$8,購入実績入力シート[氏名],管理シート[[#This Row],[氏名]],購入実績入力シート[燃料別],管理シート[[#This Row],[燃料別]])</f>
        <v>0</v>
      </c>
      <c r="CH19" s="114" t="e">
        <f t="shared" si="13"/>
        <v>#N/A</v>
      </c>
      <c r="CI19" s="162" t="e">
        <f t="shared" si="42"/>
        <v>#N/A</v>
      </c>
      <c r="CJ19" s="162" t="e">
        <f t="shared" si="43"/>
        <v>#N/A</v>
      </c>
      <c r="CK19" s="162" t="e">
        <f t="shared" si="44"/>
        <v>#N/A</v>
      </c>
      <c r="CL19" s="113" t="e">
        <f t="shared" si="14"/>
        <v>#N/A</v>
      </c>
      <c r="CM19" s="144">
        <f>SUMIFS(購入実績入力シート[購入数量],購入実績入力シート[対象月],'管理シート（本体）'!CL$8,購入実績入力シート[氏名],管理シート[[#This Row],[氏名]],購入実績入力シート[燃料別],管理シート[[#This Row],[燃料別]])</f>
        <v>0</v>
      </c>
      <c r="CN19" s="114" t="e">
        <f t="shared" si="15"/>
        <v>#N/A</v>
      </c>
      <c r="CO19" s="162" t="e">
        <f t="shared" si="45"/>
        <v>#N/A</v>
      </c>
      <c r="CP19" s="162" t="e">
        <f t="shared" si="46"/>
        <v>#N/A</v>
      </c>
      <c r="CQ19" s="162" t="e">
        <f t="shared" si="47"/>
        <v>#N/A</v>
      </c>
      <c r="CR19" s="113" t="e">
        <f t="shared" si="16"/>
        <v>#N/A</v>
      </c>
      <c r="CS19" s="144">
        <f>SUMIFS(購入実績入力シート[購入数量],購入実績入力シート[対象月],'管理シート（本体）'!CR$8,購入実績入力シート[氏名],管理シート[[#This Row],[氏名]],購入実績入力シート[燃料別],管理シート[[#This Row],[燃料別]])</f>
        <v>0</v>
      </c>
      <c r="CT19" s="114" t="e">
        <f t="shared" si="17"/>
        <v>#N/A</v>
      </c>
      <c r="CU19" s="162" t="e">
        <f t="shared" si="48"/>
        <v>#N/A</v>
      </c>
      <c r="CV19" s="162" t="e">
        <f t="shared" si="18"/>
        <v>#N/A</v>
      </c>
      <c r="CW19" s="162" t="e">
        <f t="shared" si="19"/>
        <v>#N/A</v>
      </c>
      <c r="CX19" s="113" t="e">
        <f t="shared" si="20"/>
        <v>#N/A</v>
      </c>
      <c r="CY19" s="144">
        <f>SUMIFS(購入実績入力シート[購入数量],購入実績入力シート[対象月],'管理シート（本体）'!CX$8,購入実績入力シート[氏名],管理シート[[#This Row],[氏名]],購入実績入力シート[燃料別],管理シート[[#This Row],[燃料別]])</f>
        <v>0</v>
      </c>
      <c r="CZ19" s="114" t="e">
        <f t="shared" si="21"/>
        <v>#N/A</v>
      </c>
      <c r="DA19" s="162" t="e">
        <f t="shared" si="49"/>
        <v>#N/A</v>
      </c>
      <c r="DB19" s="162" t="e">
        <f t="shared" si="50"/>
        <v>#N/A</v>
      </c>
      <c r="DC19" s="162" t="e">
        <f t="shared" si="22"/>
        <v>#N/A</v>
      </c>
      <c r="DD19" s="108" t="e">
        <f t="shared" si="23"/>
        <v>#N/A</v>
      </c>
      <c r="DE19" s="108" t="e">
        <f t="shared" si="24"/>
        <v>#N/A</v>
      </c>
      <c r="DF19" s="94"/>
      <c r="DG19" s="174">
        <f t="shared" si="25"/>
        <v>0</v>
      </c>
    </row>
    <row r="20" spans="1:111" ht="19.95" customHeight="1">
      <c r="A20" s="176" t="str">
        <f t="shared" si="51"/>
        <v>山梨県水田畑作農業再生協議会</v>
      </c>
      <c r="B20" s="176">
        <f t="shared" si="26"/>
        <v>0</v>
      </c>
      <c r="C20" s="176" t="str">
        <f t="shared" si="26"/>
        <v>団体A</v>
      </c>
      <c r="D20" s="176" t="str">
        <f t="shared" si="26"/>
        <v>会長　○○　○○</v>
      </c>
      <c r="E20" s="176" t="str">
        <f t="shared" si="26"/>
        <v>000-0000</v>
      </c>
      <c r="F20" s="176" t="str">
        <f t="shared" si="26"/>
        <v>甲府市○○</v>
      </c>
      <c r="G20" s="176" t="str">
        <f t="shared" si="26"/>
        <v>R6～R8</v>
      </c>
      <c r="H20" s="176" t="str">
        <f t="shared" si="26"/>
        <v>10月～翌６月</v>
      </c>
      <c r="I20" s="90">
        <v>7</v>
      </c>
      <c r="J20" s="90"/>
      <c r="K20" s="90" t="s">
        <v>321</v>
      </c>
      <c r="L20" s="102"/>
      <c r="M20" s="285"/>
      <c r="N20" s="271"/>
      <c r="O20" s="90"/>
      <c r="P20" s="272"/>
      <c r="Q20" s="272"/>
      <c r="R20" s="6"/>
      <c r="S20" s="107">
        <f t="shared" si="52"/>
        <v>0</v>
      </c>
      <c r="T20" s="272"/>
      <c r="U20" s="11"/>
      <c r="V20" s="108">
        <f t="shared" si="55"/>
        <v>0</v>
      </c>
      <c r="W20" s="12"/>
      <c r="X20" s="109">
        <f t="shared" si="56"/>
        <v>0</v>
      </c>
      <c r="Y20" s="110">
        <f t="shared" si="28"/>
        <v>0</v>
      </c>
      <c r="Z20" s="276"/>
      <c r="AA20" s="276"/>
      <c r="AB20" s="95"/>
      <c r="AC20" s="95"/>
      <c r="AD20" s="95"/>
      <c r="AE20" s="95"/>
      <c r="AF20" s="94"/>
      <c r="AG20" s="111">
        <f t="shared" si="29"/>
        <v>0</v>
      </c>
      <c r="AH20" s="96"/>
      <c r="AI20" s="111">
        <f t="shared" si="0"/>
        <v>0</v>
      </c>
      <c r="AJ20" s="94"/>
      <c r="AK20" s="94"/>
      <c r="AL20" s="94"/>
      <c r="AM20" s="94"/>
      <c r="AN20" s="94"/>
      <c r="AO20" s="94"/>
      <c r="AP20" s="94"/>
      <c r="AQ20" s="97"/>
      <c r="AR20" s="94"/>
      <c r="AS20" s="94"/>
      <c r="AT20" s="94"/>
      <c r="AU20" s="94"/>
      <c r="AV20" s="97"/>
      <c r="AW20" s="97"/>
      <c r="AX20" s="94"/>
      <c r="AY20" s="94"/>
      <c r="AZ20" s="97"/>
      <c r="BA20" s="261"/>
      <c r="BB20" s="113" t="e">
        <f t="shared" si="1"/>
        <v>#N/A</v>
      </c>
      <c r="BC20" s="142">
        <f>SUMIFS(購入実績入力シート[購入数量],購入実績入力シート[対象月],'管理シート（本体）'!BB$8,購入実績入力シート[氏名],管理シート[[#This Row],[氏名]],購入実績入力シート[燃料別],管理シート[[#This Row],[燃料別]])</f>
        <v>0</v>
      </c>
      <c r="BD20" s="114" t="e">
        <f t="shared" si="30"/>
        <v>#N/A</v>
      </c>
      <c r="BE20" s="162" t="e">
        <f t="shared" si="53"/>
        <v>#N/A</v>
      </c>
      <c r="BF20" s="162" t="e">
        <f t="shared" si="54"/>
        <v>#N/A</v>
      </c>
      <c r="BG20" s="162" t="e">
        <f t="shared" ref="BG20:BG29" si="59">ROUNDDOWN(BB20*BD20*1/2,0)</f>
        <v>#N/A</v>
      </c>
      <c r="BH20" s="113" t="e">
        <f t="shared" si="2"/>
        <v>#N/A</v>
      </c>
      <c r="BI20" s="144">
        <f>SUMIFS(購入実績入力シート[購入数量],購入実績入力シート[対象月],'管理シート（本体）'!BH$8,購入実績入力シート[氏名],管理シート[[#This Row],[氏名]],購入実績入力シート[燃料別],管理シート[[#This Row],[燃料別]])</f>
        <v>0</v>
      </c>
      <c r="BJ20" s="114" t="e">
        <f t="shared" si="3"/>
        <v>#N/A</v>
      </c>
      <c r="BK20" s="162" t="e">
        <f t="shared" si="57"/>
        <v>#N/A</v>
      </c>
      <c r="BL20" s="162" t="e">
        <f t="shared" si="58"/>
        <v>#N/A</v>
      </c>
      <c r="BM20" s="162" t="e">
        <f t="shared" si="34"/>
        <v>#N/A</v>
      </c>
      <c r="BN20" s="113" t="e">
        <f t="shared" si="4"/>
        <v>#N/A</v>
      </c>
      <c r="BO20" s="144">
        <f>SUMIFS(購入実績入力シート[購入数量],購入実績入力シート[対象月],'管理シート（本体）'!BN$8,購入実績入力シート[氏名],管理シート[[#This Row],[氏名]],購入実績入力シート[燃料別],管理シート[[#This Row],[燃料別]])</f>
        <v>0</v>
      </c>
      <c r="BP20" s="114" t="e">
        <f t="shared" si="5"/>
        <v>#N/A</v>
      </c>
      <c r="BQ20" s="162" t="e">
        <f t="shared" si="35"/>
        <v>#N/A</v>
      </c>
      <c r="BR20" s="162" t="e">
        <f t="shared" si="36"/>
        <v>#N/A</v>
      </c>
      <c r="BS20" s="162" t="e">
        <f t="shared" si="37"/>
        <v>#N/A</v>
      </c>
      <c r="BT20" s="113" t="e">
        <f t="shared" si="6"/>
        <v>#N/A</v>
      </c>
      <c r="BU20" s="144">
        <f>SUMIFS(購入実績入力シート[購入数量],購入実績入力シート[対象月],'管理シート（本体）'!BT$8,購入実績入力シート[氏名],管理シート[[#This Row],[氏名]],購入実績入力シート[燃料別],管理シート[[#This Row],[燃料別]])</f>
        <v>0</v>
      </c>
      <c r="BV20" s="114" t="e">
        <f t="shared" si="7"/>
        <v>#N/A</v>
      </c>
      <c r="BW20" s="162" t="e">
        <f t="shared" si="38"/>
        <v>#N/A</v>
      </c>
      <c r="BX20" s="162" t="e">
        <f t="shared" si="8"/>
        <v>#N/A</v>
      </c>
      <c r="BY20" s="162" t="e">
        <f t="shared" si="9"/>
        <v>#N/A</v>
      </c>
      <c r="BZ20" s="113" t="e">
        <f t="shared" si="10"/>
        <v>#N/A</v>
      </c>
      <c r="CA20" s="144">
        <f>SUMIFS(購入実績入力シート[購入数量],購入実績入力シート[対象月],'管理シート（本体）'!BZ$8,購入実績入力シート[氏名],管理シート[[#This Row],[氏名]],購入実績入力シート[燃料別],管理シート[[#This Row],[燃料別]])</f>
        <v>0</v>
      </c>
      <c r="CB20" s="114" t="e">
        <f t="shared" si="11"/>
        <v>#N/A</v>
      </c>
      <c r="CC20" s="162" t="e">
        <f t="shared" si="39"/>
        <v>#N/A</v>
      </c>
      <c r="CD20" s="162" t="e">
        <f t="shared" si="40"/>
        <v>#N/A</v>
      </c>
      <c r="CE20" s="162" t="e">
        <f t="shared" si="41"/>
        <v>#N/A</v>
      </c>
      <c r="CF20" s="113" t="e">
        <f t="shared" si="12"/>
        <v>#N/A</v>
      </c>
      <c r="CG20" s="144">
        <f>SUMIFS(購入実績入力シート[購入数量],購入実績入力シート[対象月],'管理シート（本体）'!CF$8,購入実績入力シート[氏名],管理シート[[#This Row],[氏名]],購入実績入力シート[燃料別],管理シート[[#This Row],[燃料別]])</f>
        <v>0</v>
      </c>
      <c r="CH20" s="114" t="e">
        <f t="shared" si="13"/>
        <v>#N/A</v>
      </c>
      <c r="CI20" s="162" t="e">
        <f t="shared" si="42"/>
        <v>#N/A</v>
      </c>
      <c r="CJ20" s="162" t="e">
        <f t="shared" si="43"/>
        <v>#N/A</v>
      </c>
      <c r="CK20" s="162" t="e">
        <f t="shared" si="44"/>
        <v>#N/A</v>
      </c>
      <c r="CL20" s="113" t="e">
        <f t="shared" si="14"/>
        <v>#N/A</v>
      </c>
      <c r="CM20" s="144">
        <f>SUMIFS(購入実績入力シート[購入数量],購入実績入力シート[対象月],'管理シート（本体）'!CL$8,購入実績入力シート[氏名],管理シート[[#This Row],[氏名]],購入実績入力シート[燃料別],管理シート[[#This Row],[燃料別]])</f>
        <v>0</v>
      </c>
      <c r="CN20" s="114" t="e">
        <f t="shared" si="15"/>
        <v>#N/A</v>
      </c>
      <c r="CO20" s="162" t="e">
        <f t="shared" si="45"/>
        <v>#N/A</v>
      </c>
      <c r="CP20" s="162" t="e">
        <f t="shared" si="46"/>
        <v>#N/A</v>
      </c>
      <c r="CQ20" s="162" t="e">
        <f t="shared" si="47"/>
        <v>#N/A</v>
      </c>
      <c r="CR20" s="113" t="e">
        <f t="shared" si="16"/>
        <v>#N/A</v>
      </c>
      <c r="CS20" s="144">
        <f>SUMIFS(購入実績入力シート[購入数量],購入実績入力シート[対象月],'管理シート（本体）'!CR$8,購入実績入力シート[氏名],管理シート[[#This Row],[氏名]],購入実績入力シート[燃料別],管理シート[[#This Row],[燃料別]])</f>
        <v>0</v>
      </c>
      <c r="CT20" s="114" t="e">
        <f t="shared" si="17"/>
        <v>#N/A</v>
      </c>
      <c r="CU20" s="162" t="e">
        <f t="shared" si="48"/>
        <v>#N/A</v>
      </c>
      <c r="CV20" s="162" t="e">
        <f t="shared" si="18"/>
        <v>#N/A</v>
      </c>
      <c r="CW20" s="162" t="e">
        <f t="shared" si="19"/>
        <v>#N/A</v>
      </c>
      <c r="CX20" s="113" t="e">
        <f t="shared" si="20"/>
        <v>#N/A</v>
      </c>
      <c r="CY20" s="144">
        <f>SUMIFS(購入実績入力シート[購入数量],購入実績入力シート[対象月],'管理シート（本体）'!CX$8,購入実績入力シート[氏名],管理シート[[#This Row],[氏名]],購入実績入力シート[燃料別],管理シート[[#This Row],[燃料別]])</f>
        <v>0</v>
      </c>
      <c r="CZ20" s="114" t="e">
        <f t="shared" si="21"/>
        <v>#N/A</v>
      </c>
      <c r="DA20" s="162" t="e">
        <f t="shared" si="49"/>
        <v>#N/A</v>
      </c>
      <c r="DB20" s="162" t="e">
        <f t="shared" si="50"/>
        <v>#N/A</v>
      </c>
      <c r="DC20" s="162" t="e">
        <f t="shared" si="22"/>
        <v>#N/A</v>
      </c>
      <c r="DD20" s="108" t="e">
        <f t="shared" si="23"/>
        <v>#N/A</v>
      </c>
      <c r="DE20" s="108" t="e">
        <f t="shared" si="24"/>
        <v>#N/A</v>
      </c>
      <c r="DF20" s="94"/>
      <c r="DG20" s="174">
        <f t="shared" si="25"/>
        <v>0</v>
      </c>
    </row>
    <row r="21" spans="1:111" ht="19.95" customHeight="1">
      <c r="A21" s="176" t="str">
        <f t="shared" si="51"/>
        <v>山梨県水田畑作農業再生協議会</v>
      </c>
      <c r="B21" s="176">
        <f t="shared" si="26"/>
        <v>0</v>
      </c>
      <c r="C21" s="176" t="str">
        <f t="shared" si="26"/>
        <v>団体A</v>
      </c>
      <c r="D21" s="176" t="str">
        <f t="shared" si="26"/>
        <v>会長　○○　○○</v>
      </c>
      <c r="E21" s="176" t="str">
        <f t="shared" si="26"/>
        <v>000-0000</v>
      </c>
      <c r="F21" s="176" t="str">
        <f t="shared" si="26"/>
        <v>甲府市○○</v>
      </c>
      <c r="G21" s="176" t="str">
        <f t="shared" si="26"/>
        <v>R6～R8</v>
      </c>
      <c r="H21" s="176" t="str">
        <f t="shared" si="26"/>
        <v>10月～翌６月</v>
      </c>
      <c r="I21" s="90">
        <v>8</v>
      </c>
      <c r="J21" s="90"/>
      <c r="K21" s="90" t="s">
        <v>322</v>
      </c>
      <c r="L21" s="102"/>
      <c r="M21" s="285"/>
      <c r="N21" s="271"/>
      <c r="O21" s="90"/>
      <c r="P21" s="272"/>
      <c r="Q21" s="272"/>
      <c r="R21" s="6"/>
      <c r="S21" s="107">
        <f t="shared" si="52"/>
        <v>0</v>
      </c>
      <c r="T21" s="272"/>
      <c r="U21" s="11"/>
      <c r="V21" s="108">
        <f t="shared" si="55"/>
        <v>0</v>
      </c>
      <c r="W21" s="12"/>
      <c r="X21" s="109">
        <f t="shared" si="56"/>
        <v>0</v>
      </c>
      <c r="Y21" s="110">
        <f t="shared" si="28"/>
        <v>0</v>
      </c>
      <c r="Z21" s="276"/>
      <c r="AA21" s="276"/>
      <c r="AB21" s="95"/>
      <c r="AC21" s="95"/>
      <c r="AD21" s="95"/>
      <c r="AE21" s="95"/>
      <c r="AF21" s="94"/>
      <c r="AG21" s="111">
        <f t="shared" si="29"/>
        <v>0</v>
      </c>
      <c r="AH21" s="96"/>
      <c r="AI21" s="111">
        <f t="shared" si="0"/>
        <v>0</v>
      </c>
      <c r="AJ21" s="94"/>
      <c r="AK21" s="94"/>
      <c r="AL21" s="94"/>
      <c r="AM21" s="94"/>
      <c r="AN21" s="94"/>
      <c r="AO21" s="94"/>
      <c r="AP21" s="94"/>
      <c r="AQ21" s="97"/>
      <c r="AR21" s="94"/>
      <c r="AS21" s="94"/>
      <c r="AT21" s="94"/>
      <c r="AU21" s="94"/>
      <c r="AV21" s="97"/>
      <c r="AW21" s="97"/>
      <c r="AX21" s="94"/>
      <c r="AY21" s="94"/>
      <c r="AZ21" s="97"/>
      <c r="BA21" s="261"/>
      <c r="BB21" s="113" t="e">
        <f t="shared" si="1"/>
        <v>#N/A</v>
      </c>
      <c r="BC21" s="142">
        <f>SUMIFS(購入実績入力シート[購入数量],購入実績入力シート[対象月],'管理シート（本体）'!BB$8,購入実績入力シート[氏名],管理シート[[#This Row],[氏名]],購入実績入力シート[燃料別],管理シート[[#This Row],[燃料別]])</f>
        <v>0</v>
      </c>
      <c r="BD21" s="114" t="e">
        <f t="shared" si="30"/>
        <v>#N/A</v>
      </c>
      <c r="BE21" s="162" t="e">
        <f t="shared" si="53"/>
        <v>#N/A</v>
      </c>
      <c r="BF21" s="162" t="e">
        <f>ROUNDDOWN(BB21*BD21*1/2,0)</f>
        <v>#N/A</v>
      </c>
      <c r="BG21" s="162" t="e">
        <f t="shared" si="59"/>
        <v>#N/A</v>
      </c>
      <c r="BH21" s="113" t="e">
        <f t="shared" si="2"/>
        <v>#N/A</v>
      </c>
      <c r="BI21" s="144">
        <f>SUMIFS(購入実績入力シート[購入数量],購入実績入力シート[対象月],'管理シート（本体）'!BH$8,購入実績入力シート[氏名],管理シート[[#This Row],[氏名]],購入実績入力シート[燃料別],管理シート[[#This Row],[燃料別]])</f>
        <v>0</v>
      </c>
      <c r="BJ21" s="114" t="e">
        <f t="shared" si="3"/>
        <v>#N/A</v>
      </c>
      <c r="BK21" s="162" t="e">
        <f t="shared" si="57"/>
        <v>#N/A</v>
      </c>
      <c r="BL21" s="162" t="e">
        <f t="shared" si="58"/>
        <v>#N/A</v>
      </c>
      <c r="BM21" s="162" t="e">
        <f t="shared" si="34"/>
        <v>#N/A</v>
      </c>
      <c r="BN21" s="113" t="e">
        <f t="shared" si="4"/>
        <v>#N/A</v>
      </c>
      <c r="BO21" s="144">
        <f>SUMIFS(購入実績入力シート[購入数量],購入実績入力シート[対象月],'管理シート（本体）'!BN$8,購入実績入力シート[氏名],管理シート[[#This Row],[氏名]],購入実績入力シート[燃料別],管理シート[[#This Row],[燃料別]])</f>
        <v>0</v>
      </c>
      <c r="BP21" s="114" t="e">
        <f t="shared" si="5"/>
        <v>#N/A</v>
      </c>
      <c r="BQ21" s="162" t="e">
        <f t="shared" si="35"/>
        <v>#N/A</v>
      </c>
      <c r="BR21" s="162" t="e">
        <f t="shared" si="36"/>
        <v>#N/A</v>
      </c>
      <c r="BS21" s="162" t="e">
        <f t="shared" si="37"/>
        <v>#N/A</v>
      </c>
      <c r="BT21" s="113" t="e">
        <f t="shared" si="6"/>
        <v>#N/A</v>
      </c>
      <c r="BU21" s="144">
        <f>SUMIFS(購入実績入力シート[購入数量],購入実績入力シート[対象月],'管理シート（本体）'!BT$8,購入実績入力シート[氏名],管理シート[[#This Row],[氏名]],購入実績入力シート[燃料別],管理シート[[#This Row],[燃料別]])</f>
        <v>0</v>
      </c>
      <c r="BV21" s="114" t="e">
        <f t="shared" si="7"/>
        <v>#N/A</v>
      </c>
      <c r="BW21" s="162" t="e">
        <f t="shared" si="38"/>
        <v>#N/A</v>
      </c>
      <c r="BX21" s="162" t="e">
        <f t="shared" si="8"/>
        <v>#N/A</v>
      </c>
      <c r="BY21" s="162" t="e">
        <f t="shared" si="9"/>
        <v>#N/A</v>
      </c>
      <c r="BZ21" s="113" t="e">
        <f t="shared" si="10"/>
        <v>#N/A</v>
      </c>
      <c r="CA21" s="144">
        <f>SUMIFS(購入実績入力シート[購入数量],購入実績入力シート[対象月],'管理シート（本体）'!BZ$8,購入実績入力シート[氏名],管理シート[[#This Row],[氏名]],購入実績入力シート[燃料別],管理シート[[#This Row],[燃料別]])</f>
        <v>0</v>
      </c>
      <c r="CB21" s="114" t="e">
        <f t="shared" si="11"/>
        <v>#N/A</v>
      </c>
      <c r="CC21" s="162" t="e">
        <f t="shared" si="39"/>
        <v>#N/A</v>
      </c>
      <c r="CD21" s="162" t="e">
        <f t="shared" si="40"/>
        <v>#N/A</v>
      </c>
      <c r="CE21" s="162" t="e">
        <f t="shared" si="41"/>
        <v>#N/A</v>
      </c>
      <c r="CF21" s="113" t="e">
        <f t="shared" si="12"/>
        <v>#N/A</v>
      </c>
      <c r="CG21" s="144">
        <f>SUMIFS(購入実績入力シート[購入数量],購入実績入力シート[対象月],'管理シート（本体）'!CF$8,購入実績入力シート[氏名],管理シート[[#This Row],[氏名]],購入実績入力シート[燃料別],管理シート[[#This Row],[燃料別]])</f>
        <v>0</v>
      </c>
      <c r="CH21" s="114" t="e">
        <f t="shared" si="13"/>
        <v>#N/A</v>
      </c>
      <c r="CI21" s="162" t="e">
        <f t="shared" si="42"/>
        <v>#N/A</v>
      </c>
      <c r="CJ21" s="162" t="e">
        <f t="shared" si="43"/>
        <v>#N/A</v>
      </c>
      <c r="CK21" s="162" t="e">
        <f t="shared" si="44"/>
        <v>#N/A</v>
      </c>
      <c r="CL21" s="113" t="e">
        <f t="shared" si="14"/>
        <v>#N/A</v>
      </c>
      <c r="CM21" s="144">
        <f>SUMIFS(購入実績入力シート[購入数量],購入実績入力シート[対象月],'管理シート（本体）'!CL$8,購入実績入力シート[氏名],管理シート[[#This Row],[氏名]],購入実績入力シート[燃料別],管理シート[[#This Row],[燃料別]])</f>
        <v>0</v>
      </c>
      <c r="CN21" s="114" t="e">
        <f t="shared" si="15"/>
        <v>#N/A</v>
      </c>
      <c r="CO21" s="162" t="e">
        <f t="shared" si="45"/>
        <v>#N/A</v>
      </c>
      <c r="CP21" s="162" t="e">
        <f t="shared" si="46"/>
        <v>#N/A</v>
      </c>
      <c r="CQ21" s="162" t="e">
        <f t="shared" si="47"/>
        <v>#N/A</v>
      </c>
      <c r="CR21" s="113" t="e">
        <f t="shared" si="16"/>
        <v>#N/A</v>
      </c>
      <c r="CS21" s="144">
        <f>SUMIFS(購入実績入力シート[購入数量],購入実績入力シート[対象月],'管理シート（本体）'!CR$8,購入実績入力シート[氏名],管理シート[[#This Row],[氏名]],購入実績入力シート[燃料別],管理シート[[#This Row],[燃料別]])</f>
        <v>0</v>
      </c>
      <c r="CT21" s="114" t="e">
        <f t="shared" si="17"/>
        <v>#N/A</v>
      </c>
      <c r="CU21" s="162" t="e">
        <f t="shared" si="48"/>
        <v>#N/A</v>
      </c>
      <c r="CV21" s="162" t="e">
        <f t="shared" si="18"/>
        <v>#N/A</v>
      </c>
      <c r="CW21" s="162" t="e">
        <f t="shared" si="19"/>
        <v>#N/A</v>
      </c>
      <c r="CX21" s="113" t="e">
        <f t="shared" si="20"/>
        <v>#N/A</v>
      </c>
      <c r="CY21" s="144">
        <f>SUMIFS(購入実績入力シート[購入数量],購入実績入力シート[対象月],'管理シート（本体）'!CX$8,購入実績入力シート[氏名],管理シート[[#This Row],[氏名]],購入実績入力シート[燃料別],管理シート[[#This Row],[燃料別]])</f>
        <v>0</v>
      </c>
      <c r="CZ21" s="114" t="e">
        <f t="shared" si="21"/>
        <v>#N/A</v>
      </c>
      <c r="DA21" s="162" t="e">
        <f t="shared" si="49"/>
        <v>#N/A</v>
      </c>
      <c r="DB21" s="162" t="e">
        <f t="shared" si="50"/>
        <v>#N/A</v>
      </c>
      <c r="DC21" s="162" t="e">
        <f t="shared" si="22"/>
        <v>#N/A</v>
      </c>
      <c r="DD21" s="108" t="e">
        <f t="shared" si="23"/>
        <v>#N/A</v>
      </c>
      <c r="DE21" s="108" t="e">
        <f t="shared" si="24"/>
        <v>#N/A</v>
      </c>
      <c r="DF21" s="94"/>
      <c r="DG21" s="174">
        <f t="shared" si="25"/>
        <v>0</v>
      </c>
    </row>
    <row r="22" spans="1:111" ht="19.95" customHeight="1">
      <c r="A22" s="176" t="str">
        <f t="shared" si="51"/>
        <v>山梨県水田畑作農業再生協議会</v>
      </c>
      <c r="B22" s="176">
        <f t="shared" si="26"/>
        <v>0</v>
      </c>
      <c r="C22" s="176" t="str">
        <f t="shared" si="26"/>
        <v>団体A</v>
      </c>
      <c r="D22" s="176" t="str">
        <f t="shared" si="26"/>
        <v>会長　○○　○○</v>
      </c>
      <c r="E22" s="176" t="str">
        <f t="shared" si="26"/>
        <v>000-0000</v>
      </c>
      <c r="F22" s="176" t="str">
        <f t="shared" si="26"/>
        <v>甲府市○○</v>
      </c>
      <c r="G22" s="176" t="str">
        <f t="shared" si="26"/>
        <v>R6～R8</v>
      </c>
      <c r="H22" s="176" t="str">
        <f t="shared" si="26"/>
        <v>10月～翌６月</v>
      </c>
      <c r="I22" s="90">
        <v>9</v>
      </c>
      <c r="J22" s="90"/>
      <c r="K22" s="90" t="s">
        <v>323</v>
      </c>
      <c r="L22" s="102"/>
      <c r="M22" s="285"/>
      <c r="N22" s="271"/>
      <c r="O22" s="90"/>
      <c r="P22" s="272"/>
      <c r="Q22" s="272"/>
      <c r="R22" s="6"/>
      <c r="S22" s="107">
        <f t="shared" si="52"/>
        <v>0</v>
      </c>
      <c r="T22" s="272"/>
      <c r="U22" s="11"/>
      <c r="V22" s="108">
        <f t="shared" si="55"/>
        <v>0</v>
      </c>
      <c r="W22" s="12"/>
      <c r="X22" s="109">
        <f t="shared" si="56"/>
        <v>0</v>
      </c>
      <c r="Y22" s="110">
        <f t="shared" si="28"/>
        <v>0</v>
      </c>
      <c r="Z22" s="276"/>
      <c r="AA22" s="276"/>
      <c r="AB22" s="95"/>
      <c r="AC22" s="95"/>
      <c r="AD22" s="95"/>
      <c r="AE22" s="95"/>
      <c r="AF22" s="94"/>
      <c r="AG22" s="111">
        <f t="shared" si="29"/>
        <v>0</v>
      </c>
      <c r="AH22" s="96"/>
      <c r="AI22" s="111">
        <f t="shared" si="0"/>
        <v>0</v>
      </c>
      <c r="AJ22" s="94"/>
      <c r="AK22" s="94"/>
      <c r="AL22" s="94"/>
      <c r="AM22" s="94"/>
      <c r="AN22" s="97"/>
      <c r="AO22" s="94"/>
      <c r="AP22" s="94"/>
      <c r="AQ22" s="97"/>
      <c r="AR22" s="94"/>
      <c r="AS22" s="94"/>
      <c r="AT22" s="94"/>
      <c r="AU22" s="94"/>
      <c r="AV22" s="97"/>
      <c r="AW22" s="97"/>
      <c r="AX22" s="94"/>
      <c r="AY22" s="94"/>
      <c r="AZ22" s="97"/>
      <c r="BA22" s="261"/>
      <c r="BB22" s="113" t="e">
        <f t="shared" si="1"/>
        <v>#N/A</v>
      </c>
      <c r="BC22" s="142">
        <f>SUMIFS(購入実績入力シート[購入数量],購入実績入力シート[対象月],'管理シート（本体）'!BB$8,購入実績入力シート[氏名],管理シート[[#This Row],[氏名]],購入実績入力シート[燃料別],管理シート[[#This Row],[燃料別]])</f>
        <v>0</v>
      </c>
      <c r="BD22" s="114" t="e">
        <f t="shared" si="30"/>
        <v>#N/A</v>
      </c>
      <c r="BE22" s="162" t="e">
        <f t="shared" ref="BE22:BE27" si="60">SUM(BF22:BG22)</f>
        <v>#N/A</v>
      </c>
      <c r="BF22" s="162" t="e">
        <f t="shared" ref="BF22:BF27" si="61">ROUNDDOWN(BB22*BD22*1/2,0)</f>
        <v>#N/A</v>
      </c>
      <c r="BG22" s="162" t="e">
        <f t="shared" ref="BG22:BG27" si="62">ROUNDDOWN(BB22*BD22*1/2,0)</f>
        <v>#N/A</v>
      </c>
      <c r="BH22" s="113" t="e">
        <f t="shared" si="2"/>
        <v>#N/A</v>
      </c>
      <c r="BI22" s="144">
        <f>SUMIFS(購入実績入力シート[購入数量],購入実績入力シート[対象月],'管理シート（本体）'!BH$8,購入実績入力シート[氏名],管理シート[[#This Row],[氏名]],購入実績入力シート[燃料別],管理シート[[#This Row],[燃料別]])</f>
        <v>0</v>
      </c>
      <c r="BJ22" s="114" t="e">
        <f t="shared" si="3"/>
        <v>#N/A</v>
      </c>
      <c r="BK22" s="162" t="e">
        <f t="shared" ref="BK22:BK27" si="63">SUM(BL22:BM22)</f>
        <v>#N/A</v>
      </c>
      <c r="BL22" s="162" t="e">
        <f t="shared" ref="BL22:BL27" si="64">ROUNDDOWN(BH22*BJ22*1/2,0)</f>
        <v>#N/A</v>
      </c>
      <c r="BM22" s="162" t="e">
        <f t="shared" ref="BM22:BM27" si="65">ROUNDDOWN(BH22*BJ22*1/2,0)</f>
        <v>#N/A</v>
      </c>
      <c r="BN22" s="113" t="e">
        <f t="shared" si="4"/>
        <v>#N/A</v>
      </c>
      <c r="BO22" s="144">
        <f>SUMIFS(購入実績入力シート[購入数量],購入実績入力シート[対象月],'管理シート（本体）'!BN$8,購入実績入力シート[氏名],管理シート[[#This Row],[氏名]],購入実績入力シート[燃料別],管理シート[[#This Row],[燃料別]])</f>
        <v>0</v>
      </c>
      <c r="BP22" s="114" t="e">
        <f t="shared" si="5"/>
        <v>#N/A</v>
      </c>
      <c r="BQ22" s="162" t="e">
        <f t="shared" ref="BQ22:BQ27" si="66">SUM(BR22:BS22)</f>
        <v>#N/A</v>
      </c>
      <c r="BR22" s="162" t="e">
        <f t="shared" ref="BR22:BR27" si="67">ROUNDDOWN(BN22*BP22*1/2,0)</f>
        <v>#N/A</v>
      </c>
      <c r="BS22" s="162" t="e">
        <f t="shared" ref="BS22:BS27" si="68">ROUNDDOWN(BN22*BP22*1/2,0)</f>
        <v>#N/A</v>
      </c>
      <c r="BT22" s="113" t="e">
        <f t="shared" si="6"/>
        <v>#N/A</v>
      </c>
      <c r="BU22" s="144">
        <f>SUMIFS(購入実績入力シート[購入数量],購入実績入力シート[対象月],'管理シート（本体）'!BT$8,購入実績入力シート[氏名],管理シート[[#This Row],[氏名]],購入実績入力シート[燃料別],管理シート[[#This Row],[燃料別]])</f>
        <v>0</v>
      </c>
      <c r="BV22" s="114" t="e">
        <f t="shared" si="7"/>
        <v>#N/A</v>
      </c>
      <c r="BW22" s="162" t="e">
        <f t="shared" ref="BW22:BW27" si="69">SUM(BX22:BY22)</f>
        <v>#N/A</v>
      </c>
      <c r="BX22" s="162" t="e">
        <f t="shared" ref="BX22:BX27" si="70">ROUNDDOWN(BT22*BV22*1/2,0)</f>
        <v>#N/A</v>
      </c>
      <c r="BY22" s="162" t="e">
        <f t="shared" ref="BY22:BY27" si="71">ROUNDDOWN(BT22*BV22*1/2,0)</f>
        <v>#N/A</v>
      </c>
      <c r="BZ22" s="113" t="e">
        <f t="shared" si="10"/>
        <v>#N/A</v>
      </c>
      <c r="CA22" s="144">
        <f>SUMIFS(購入実績入力シート[購入数量],購入実績入力シート[対象月],'管理シート（本体）'!BZ$8,購入実績入力シート[氏名],管理シート[[#This Row],[氏名]],購入実績入力シート[燃料別],管理シート[[#This Row],[燃料別]])</f>
        <v>0</v>
      </c>
      <c r="CB22" s="114" t="e">
        <f t="shared" si="11"/>
        <v>#N/A</v>
      </c>
      <c r="CC22" s="162" t="e">
        <f t="shared" ref="CC22:CC27" si="72">SUM(CD22:CE22)</f>
        <v>#N/A</v>
      </c>
      <c r="CD22" s="162" t="e">
        <f t="shared" ref="CD22:CD27" si="73">ROUNDDOWN(BZ22*CB22*1/2,0)</f>
        <v>#N/A</v>
      </c>
      <c r="CE22" s="162" t="e">
        <f t="shared" ref="CE22:CE27" si="74">ROUNDDOWN(BZ22*CB22*1/2,0)</f>
        <v>#N/A</v>
      </c>
      <c r="CF22" s="113" t="e">
        <f t="shared" si="12"/>
        <v>#N/A</v>
      </c>
      <c r="CG22" s="144">
        <f>SUMIFS(購入実績入力シート[購入数量],購入実績入力シート[対象月],'管理シート（本体）'!CF$8,購入実績入力シート[氏名],管理シート[[#This Row],[氏名]],購入実績入力シート[燃料別],管理シート[[#This Row],[燃料別]])</f>
        <v>0</v>
      </c>
      <c r="CH22" s="114" t="e">
        <f t="shared" si="13"/>
        <v>#N/A</v>
      </c>
      <c r="CI22" s="162" t="e">
        <f t="shared" ref="CI22:CI27" si="75">SUM(CJ22:CK22)</f>
        <v>#N/A</v>
      </c>
      <c r="CJ22" s="162" t="e">
        <f t="shared" ref="CJ22:CJ27" si="76">ROUNDDOWN(CF22*CH22*1/2,0)</f>
        <v>#N/A</v>
      </c>
      <c r="CK22" s="162" t="e">
        <f t="shared" ref="CK22:CK27" si="77">ROUNDDOWN(CF22*CH22*1/2,0)</f>
        <v>#N/A</v>
      </c>
      <c r="CL22" s="113" t="e">
        <f t="shared" si="14"/>
        <v>#N/A</v>
      </c>
      <c r="CM22" s="144">
        <f>SUMIFS(購入実績入力シート[購入数量],購入実績入力シート[対象月],'管理シート（本体）'!CL$8,購入実績入力シート[氏名],管理シート[[#This Row],[氏名]],購入実績入力シート[燃料別],管理シート[[#This Row],[燃料別]])</f>
        <v>0</v>
      </c>
      <c r="CN22" s="114" t="e">
        <f t="shared" si="15"/>
        <v>#N/A</v>
      </c>
      <c r="CO22" s="162" t="e">
        <f t="shared" ref="CO22:CO27" si="78">SUM(CP22:CQ22)</f>
        <v>#N/A</v>
      </c>
      <c r="CP22" s="162" t="e">
        <f t="shared" ref="CP22:CP27" si="79">ROUNDDOWN(CL22*CN22*1/2,0)</f>
        <v>#N/A</v>
      </c>
      <c r="CQ22" s="162" t="e">
        <f t="shared" ref="CQ22:CQ27" si="80">ROUNDDOWN(CL22*CN22*1/2,0)</f>
        <v>#N/A</v>
      </c>
      <c r="CR22" s="113" t="e">
        <f t="shared" si="16"/>
        <v>#N/A</v>
      </c>
      <c r="CS22" s="144">
        <f>SUMIFS(購入実績入力シート[購入数量],購入実績入力シート[対象月],'管理シート（本体）'!CR$8,購入実績入力シート[氏名],管理シート[[#This Row],[氏名]],購入実績入力シート[燃料別],管理シート[[#This Row],[燃料別]])</f>
        <v>0</v>
      </c>
      <c r="CT22" s="114" t="e">
        <f t="shared" si="17"/>
        <v>#N/A</v>
      </c>
      <c r="CU22" s="162" t="e">
        <f t="shared" ref="CU22:CU27" si="81">SUM(CV22:CW22)</f>
        <v>#N/A</v>
      </c>
      <c r="CV22" s="162" t="e">
        <f t="shared" ref="CV22:CV27" si="82">ROUNDDOWN(CR22*CT22*1/2,0)</f>
        <v>#N/A</v>
      </c>
      <c r="CW22" s="162" t="e">
        <f t="shared" ref="CW22:CW27" si="83">ROUNDDOWN(CR22*CT22*1/2,0)</f>
        <v>#N/A</v>
      </c>
      <c r="CX22" s="113" t="e">
        <f t="shared" si="20"/>
        <v>#N/A</v>
      </c>
      <c r="CY22" s="144">
        <f>SUMIFS(購入実績入力シート[購入数量],購入実績入力シート[対象月],'管理シート（本体）'!CX$8,購入実績入力シート[氏名],管理シート[[#This Row],[氏名]],購入実績入力シート[燃料別],管理シート[[#This Row],[燃料別]])</f>
        <v>0</v>
      </c>
      <c r="CZ22" s="114" t="e">
        <f t="shared" si="21"/>
        <v>#N/A</v>
      </c>
      <c r="DA22" s="162" t="e">
        <f t="shared" ref="DA22:DA27" si="84">SUM(DB22:DC22)</f>
        <v>#N/A</v>
      </c>
      <c r="DB22" s="162" t="e">
        <f t="shared" si="50"/>
        <v>#N/A</v>
      </c>
      <c r="DC22" s="162" t="e">
        <f t="shared" si="22"/>
        <v>#N/A</v>
      </c>
      <c r="DD22" s="108" t="e">
        <f t="shared" si="23"/>
        <v>#N/A</v>
      </c>
      <c r="DE22" s="108" t="e">
        <f t="shared" si="24"/>
        <v>#N/A</v>
      </c>
      <c r="DF22" s="94"/>
      <c r="DG22" s="174">
        <f t="shared" si="25"/>
        <v>0</v>
      </c>
    </row>
    <row r="23" spans="1:111" ht="19.95" customHeight="1">
      <c r="A23" s="176" t="str">
        <f t="shared" si="51"/>
        <v>山梨県水田畑作農業再生協議会</v>
      </c>
      <c r="B23" s="176">
        <f t="shared" si="26"/>
        <v>0</v>
      </c>
      <c r="C23" s="176" t="str">
        <f t="shared" si="26"/>
        <v>団体A</v>
      </c>
      <c r="D23" s="176" t="str">
        <f t="shared" si="26"/>
        <v>会長　○○　○○</v>
      </c>
      <c r="E23" s="176" t="str">
        <f t="shared" si="26"/>
        <v>000-0000</v>
      </c>
      <c r="F23" s="176" t="str">
        <f t="shared" si="26"/>
        <v>甲府市○○</v>
      </c>
      <c r="G23" s="176" t="str">
        <f t="shared" si="26"/>
        <v>R6～R8</v>
      </c>
      <c r="H23" s="176" t="str">
        <f t="shared" si="26"/>
        <v>10月～翌６月</v>
      </c>
      <c r="I23" s="90">
        <v>10</v>
      </c>
      <c r="J23" s="90"/>
      <c r="K23" s="90" t="s">
        <v>324</v>
      </c>
      <c r="L23" s="102"/>
      <c r="M23" s="285"/>
      <c r="N23" s="271"/>
      <c r="O23" s="90"/>
      <c r="P23" s="272"/>
      <c r="Q23" s="272"/>
      <c r="R23" s="6"/>
      <c r="S23" s="107">
        <f t="shared" si="52"/>
        <v>0</v>
      </c>
      <c r="T23" s="272"/>
      <c r="U23" s="11"/>
      <c r="V23" s="108">
        <f>Q23-T23-R23</f>
        <v>0</v>
      </c>
      <c r="W23" s="12"/>
      <c r="X23" s="109">
        <f t="shared" si="56"/>
        <v>0</v>
      </c>
      <c r="Y23" s="110">
        <f t="shared" si="28"/>
        <v>0</v>
      </c>
      <c r="Z23" s="276"/>
      <c r="AA23" s="276"/>
      <c r="AB23" s="95"/>
      <c r="AC23" s="95"/>
      <c r="AD23" s="95"/>
      <c r="AE23" s="95"/>
      <c r="AF23" s="94"/>
      <c r="AG23" s="111">
        <f t="shared" si="29"/>
        <v>0</v>
      </c>
      <c r="AH23" s="96"/>
      <c r="AI23" s="111">
        <f t="shared" si="0"/>
        <v>0</v>
      </c>
      <c r="AJ23" s="94"/>
      <c r="AK23" s="94"/>
      <c r="AL23" s="94"/>
      <c r="AM23" s="94"/>
      <c r="AN23" s="94"/>
      <c r="AO23" s="94"/>
      <c r="AP23" s="94"/>
      <c r="AQ23" s="97"/>
      <c r="AR23" s="94"/>
      <c r="AS23" s="94"/>
      <c r="AT23" s="94"/>
      <c r="AU23" s="94"/>
      <c r="AV23" s="97"/>
      <c r="AW23" s="97"/>
      <c r="AX23" s="94"/>
      <c r="AY23" s="94"/>
      <c r="AZ23" s="97"/>
      <c r="BA23" s="261"/>
      <c r="BB23" s="113" t="e">
        <f t="shared" si="1"/>
        <v>#N/A</v>
      </c>
      <c r="BC23" s="142">
        <f>SUMIFS(購入実績入力シート[購入数量],購入実績入力シート[対象月],'管理シート（本体）'!BB$8,購入実績入力シート[氏名],管理シート[[#This Row],[氏名]],購入実績入力シート[燃料別],管理シート[[#This Row],[燃料別]])</f>
        <v>0</v>
      </c>
      <c r="BD23" s="114" t="e">
        <f t="shared" si="30"/>
        <v>#N/A</v>
      </c>
      <c r="BE23" s="162" t="e">
        <f t="shared" si="60"/>
        <v>#N/A</v>
      </c>
      <c r="BF23" s="162" t="e">
        <f t="shared" si="61"/>
        <v>#N/A</v>
      </c>
      <c r="BG23" s="162" t="e">
        <f t="shared" si="62"/>
        <v>#N/A</v>
      </c>
      <c r="BH23" s="113" t="e">
        <f t="shared" si="2"/>
        <v>#N/A</v>
      </c>
      <c r="BI23" s="144">
        <f>SUMIFS(購入実績入力シート[購入数量],購入実績入力シート[対象月],'管理シート（本体）'!BH$8,購入実績入力シート[氏名],管理シート[[#This Row],[氏名]],購入実績入力シート[燃料別],管理シート[[#This Row],[燃料別]])</f>
        <v>0</v>
      </c>
      <c r="BJ23" s="114" t="e">
        <f t="shared" si="3"/>
        <v>#N/A</v>
      </c>
      <c r="BK23" s="162" t="e">
        <f t="shared" si="63"/>
        <v>#N/A</v>
      </c>
      <c r="BL23" s="162" t="e">
        <f t="shared" si="64"/>
        <v>#N/A</v>
      </c>
      <c r="BM23" s="162" t="e">
        <f t="shared" si="65"/>
        <v>#N/A</v>
      </c>
      <c r="BN23" s="113" t="e">
        <f t="shared" si="4"/>
        <v>#N/A</v>
      </c>
      <c r="BO23" s="144">
        <f>SUMIFS(購入実績入力シート[購入数量],購入実績入力シート[対象月],'管理シート（本体）'!BN$8,購入実績入力シート[氏名],管理シート[[#This Row],[氏名]],購入実績入力シート[燃料別],管理シート[[#This Row],[燃料別]])</f>
        <v>0</v>
      </c>
      <c r="BP23" s="114" t="e">
        <f t="shared" si="5"/>
        <v>#N/A</v>
      </c>
      <c r="BQ23" s="162" t="e">
        <f t="shared" si="66"/>
        <v>#N/A</v>
      </c>
      <c r="BR23" s="162" t="e">
        <f t="shared" si="67"/>
        <v>#N/A</v>
      </c>
      <c r="BS23" s="162" t="e">
        <f t="shared" si="68"/>
        <v>#N/A</v>
      </c>
      <c r="BT23" s="113" t="e">
        <f t="shared" si="6"/>
        <v>#N/A</v>
      </c>
      <c r="BU23" s="144">
        <f>SUMIFS(購入実績入力シート[購入数量],購入実績入力シート[対象月],'管理シート（本体）'!BT$8,購入実績入力シート[氏名],管理シート[[#This Row],[氏名]],購入実績入力シート[燃料別],管理シート[[#This Row],[燃料別]])</f>
        <v>0</v>
      </c>
      <c r="BV23" s="114" t="e">
        <f t="shared" si="7"/>
        <v>#N/A</v>
      </c>
      <c r="BW23" s="162" t="e">
        <f t="shared" si="69"/>
        <v>#N/A</v>
      </c>
      <c r="BX23" s="162" t="e">
        <f t="shared" si="70"/>
        <v>#N/A</v>
      </c>
      <c r="BY23" s="162" t="e">
        <f t="shared" si="71"/>
        <v>#N/A</v>
      </c>
      <c r="BZ23" s="113" t="e">
        <f t="shared" si="10"/>
        <v>#N/A</v>
      </c>
      <c r="CA23" s="144">
        <f>SUMIFS(購入実績入力シート[購入数量],購入実績入力シート[対象月],'管理シート（本体）'!BZ$8,購入実績入力シート[氏名],管理シート[[#This Row],[氏名]],購入実績入力シート[燃料別],管理シート[[#This Row],[燃料別]])</f>
        <v>0</v>
      </c>
      <c r="CB23" s="114" t="e">
        <f t="shared" si="11"/>
        <v>#N/A</v>
      </c>
      <c r="CC23" s="162" t="e">
        <f t="shared" si="72"/>
        <v>#N/A</v>
      </c>
      <c r="CD23" s="162" t="e">
        <f t="shared" si="73"/>
        <v>#N/A</v>
      </c>
      <c r="CE23" s="162" t="e">
        <f t="shared" si="74"/>
        <v>#N/A</v>
      </c>
      <c r="CF23" s="113" t="e">
        <f t="shared" si="12"/>
        <v>#N/A</v>
      </c>
      <c r="CG23" s="144">
        <f>SUMIFS(購入実績入力シート[購入数量],購入実績入力シート[対象月],'管理シート（本体）'!CF$8,購入実績入力シート[氏名],管理シート[[#This Row],[氏名]],購入実績入力シート[燃料別],管理シート[[#This Row],[燃料別]])</f>
        <v>0</v>
      </c>
      <c r="CH23" s="114" t="e">
        <f t="shared" si="13"/>
        <v>#N/A</v>
      </c>
      <c r="CI23" s="162" t="e">
        <f t="shared" si="75"/>
        <v>#N/A</v>
      </c>
      <c r="CJ23" s="162" t="e">
        <f t="shared" si="76"/>
        <v>#N/A</v>
      </c>
      <c r="CK23" s="162" t="e">
        <f t="shared" si="77"/>
        <v>#N/A</v>
      </c>
      <c r="CL23" s="113" t="e">
        <f t="shared" si="14"/>
        <v>#N/A</v>
      </c>
      <c r="CM23" s="144">
        <f>SUMIFS(購入実績入力シート[購入数量],購入実績入力シート[対象月],'管理シート（本体）'!CL$8,購入実績入力シート[氏名],管理シート[[#This Row],[氏名]],購入実績入力シート[燃料別],管理シート[[#This Row],[燃料別]])</f>
        <v>0</v>
      </c>
      <c r="CN23" s="114" t="e">
        <f t="shared" si="15"/>
        <v>#N/A</v>
      </c>
      <c r="CO23" s="162" t="e">
        <f t="shared" si="78"/>
        <v>#N/A</v>
      </c>
      <c r="CP23" s="162" t="e">
        <f t="shared" si="79"/>
        <v>#N/A</v>
      </c>
      <c r="CQ23" s="162" t="e">
        <f t="shared" si="80"/>
        <v>#N/A</v>
      </c>
      <c r="CR23" s="113" t="e">
        <f t="shared" si="16"/>
        <v>#N/A</v>
      </c>
      <c r="CS23" s="144">
        <f>SUMIFS(購入実績入力シート[購入数量],購入実績入力シート[対象月],'管理シート（本体）'!CR$8,購入実績入力シート[氏名],管理シート[[#This Row],[氏名]],購入実績入力シート[燃料別],管理シート[[#This Row],[燃料別]])</f>
        <v>0</v>
      </c>
      <c r="CT23" s="114" t="e">
        <f t="shared" si="17"/>
        <v>#N/A</v>
      </c>
      <c r="CU23" s="162" t="e">
        <f t="shared" si="81"/>
        <v>#N/A</v>
      </c>
      <c r="CV23" s="162" t="e">
        <f t="shared" si="82"/>
        <v>#N/A</v>
      </c>
      <c r="CW23" s="162" t="e">
        <f t="shared" si="83"/>
        <v>#N/A</v>
      </c>
      <c r="CX23" s="113" t="e">
        <f t="shared" si="20"/>
        <v>#N/A</v>
      </c>
      <c r="CY23" s="144">
        <f>SUMIFS(購入実績入力シート[購入数量],購入実績入力シート[対象月],'管理シート（本体）'!CX$8,購入実績入力シート[氏名],管理シート[[#This Row],[氏名]],購入実績入力シート[燃料別],管理シート[[#This Row],[燃料別]])</f>
        <v>0</v>
      </c>
      <c r="CZ23" s="114" t="e">
        <f t="shared" si="21"/>
        <v>#N/A</v>
      </c>
      <c r="DA23" s="162" t="e">
        <f t="shared" si="84"/>
        <v>#N/A</v>
      </c>
      <c r="DB23" s="162" t="e">
        <f t="shared" si="50"/>
        <v>#N/A</v>
      </c>
      <c r="DC23" s="162" t="e">
        <f t="shared" si="22"/>
        <v>#N/A</v>
      </c>
      <c r="DD23" s="108" t="e">
        <f t="shared" si="23"/>
        <v>#N/A</v>
      </c>
      <c r="DE23" s="108" t="e">
        <f t="shared" si="24"/>
        <v>#N/A</v>
      </c>
      <c r="DF23" s="94"/>
      <c r="DG23" s="174">
        <f t="shared" si="25"/>
        <v>0</v>
      </c>
    </row>
    <row r="24" spans="1:111" ht="19.95" customHeight="1">
      <c r="A24" s="176" t="str">
        <f t="shared" si="51"/>
        <v>山梨県水田畑作農業再生協議会</v>
      </c>
      <c r="B24" s="176">
        <f t="shared" si="26"/>
        <v>0</v>
      </c>
      <c r="C24" s="176" t="str">
        <f t="shared" si="26"/>
        <v>団体A</v>
      </c>
      <c r="D24" s="176" t="str">
        <f t="shared" si="26"/>
        <v>会長　○○　○○</v>
      </c>
      <c r="E24" s="176" t="str">
        <f t="shared" si="26"/>
        <v>000-0000</v>
      </c>
      <c r="F24" s="176" t="str">
        <f t="shared" si="26"/>
        <v>甲府市○○</v>
      </c>
      <c r="G24" s="176" t="str">
        <f t="shared" si="26"/>
        <v>R6～R8</v>
      </c>
      <c r="H24" s="176" t="str">
        <f t="shared" si="26"/>
        <v>10月～翌６月</v>
      </c>
      <c r="I24" s="90">
        <v>11</v>
      </c>
      <c r="J24" s="90"/>
      <c r="K24" s="90" t="s">
        <v>325</v>
      </c>
      <c r="L24" s="102"/>
      <c r="M24" s="285"/>
      <c r="N24" s="271"/>
      <c r="O24" s="90"/>
      <c r="P24" s="272"/>
      <c r="Q24" s="272"/>
      <c r="R24" s="6"/>
      <c r="S24" s="107">
        <f t="shared" si="52"/>
        <v>0</v>
      </c>
      <c r="T24" s="272"/>
      <c r="U24" s="11"/>
      <c r="V24" s="108">
        <f t="shared" si="55"/>
        <v>0</v>
      </c>
      <c r="W24" s="12"/>
      <c r="X24" s="109">
        <f t="shared" si="56"/>
        <v>0</v>
      </c>
      <c r="Y24" s="110">
        <f t="shared" si="28"/>
        <v>0</v>
      </c>
      <c r="Z24" s="276"/>
      <c r="AA24" s="276"/>
      <c r="AB24" s="95"/>
      <c r="AC24" s="95"/>
      <c r="AD24" s="95"/>
      <c r="AE24" s="95"/>
      <c r="AF24" s="94"/>
      <c r="AG24" s="111">
        <f t="shared" si="29"/>
        <v>0</v>
      </c>
      <c r="AH24" s="96"/>
      <c r="AI24" s="111">
        <f t="shared" si="0"/>
        <v>0</v>
      </c>
      <c r="AJ24" s="94"/>
      <c r="AK24" s="94"/>
      <c r="AL24" s="94"/>
      <c r="AM24" s="94"/>
      <c r="AN24" s="94"/>
      <c r="AO24" s="94"/>
      <c r="AP24" s="94"/>
      <c r="AQ24" s="97"/>
      <c r="AR24" s="94"/>
      <c r="AS24" s="94"/>
      <c r="AT24" s="94"/>
      <c r="AU24" s="94"/>
      <c r="AV24" s="97"/>
      <c r="AW24" s="97"/>
      <c r="AX24" s="94"/>
      <c r="AY24" s="94"/>
      <c r="AZ24" s="97"/>
      <c r="BA24" s="261"/>
      <c r="BB24" s="113" t="e">
        <f t="shared" si="1"/>
        <v>#N/A</v>
      </c>
      <c r="BC24" s="142">
        <f>SUMIFS(購入実績入力シート[購入数量],購入実績入力シート[対象月],'管理シート（本体）'!BB$8,購入実績入力シート[氏名],管理シート[[#This Row],[氏名]],購入実績入力シート[燃料別],管理シート[[#This Row],[燃料別]])</f>
        <v>0</v>
      </c>
      <c r="BD24" s="114" t="e">
        <f t="shared" si="30"/>
        <v>#N/A</v>
      </c>
      <c r="BE24" s="162" t="e">
        <f t="shared" si="60"/>
        <v>#N/A</v>
      </c>
      <c r="BF24" s="162" t="e">
        <f t="shared" si="61"/>
        <v>#N/A</v>
      </c>
      <c r="BG24" s="162" t="e">
        <f t="shared" si="62"/>
        <v>#N/A</v>
      </c>
      <c r="BH24" s="113" t="e">
        <f t="shared" si="2"/>
        <v>#N/A</v>
      </c>
      <c r="BI24" s="144">
        <f>SUMIFS(購入実績入力シート[購入数量],購入実績入力シート[対象月],'管理シート（本体）'!BH$8,購入実績入力シート[氏名],管理シート[[#This Row],[氏名]],購入実績入力シート[燃料別],管理シート[[#This Row],[燃料別]])</f>
        <v>0</v>
      </c>
      <c r="BJ24" s="114" t="e">
        <f t="shared" si="3"/>
        <v>#N/A</v>
      </c>
      <c r="BK24" s="162" t="e">
        <f t="shared" si="63"/>
        <v>#N/A</v>
      </c>
      <c r="BL24" s="162" t="e">
        <f t="shared" si="64"/>
        <v>#N/A</v>
      </c>
      <c r="BM24" s="162" t="e">
        <f t="shared" si="65"/>
        <v>#N/A</v>
      </c>
      <c r="BN24" s="113" t="e">
        <f t="shared" si="4"/>
        <v>#N/A</v>
      </c>
      <c r="BO24" s="144">
        <f>SUMIFS(購入実績入力シート[購入数量],購入実績入力シート[対象月],'管理シート（本体）'!BN$8,購入実績入力シート[氏名],管理シート[[#This Row],[氏名]],購入実績入力シート[燃料別],管理シート[[#This Row],[燃料別]])</f>
        <v>0</v>
      </c>
      <c r="BP24" s="114" t="e">
        <f t="shared" si="5"/>
        <v>#N/A</v>
      </c>
      <c r="BQ24" s="162" t="e">
        <f t="shared" si="66"/>
        <v>#N/A</v>
      </c>
      <c r="BR24" s="162" t="e">
        <f t="shared" si="67"/>
        <v>#N/A</v>
      </c>
      <c r="BS24" s="162" t="e">
        <f t="shared" si="68"/>
        <v>#N/A</v>
      </c>
      <c r="BT24" s="113" t="e">
        <f t="shared" si="6"/>
        <v>#N/A</v>
      </c>
      <c r="BU24" s="144">
        <f>SUMIFS(購入実績入力シート[購入数量],購入実績入力シート[対象月],'管理シート（本体）'!BT$8,購入実績入力シート[氏名],管理シート[[#This Row],[氏名]],購入実績入力シート[燃料別],管理シート[[#This Row],[燃料別]])</f>
        <v>0</v>
      </c>
      <c r="BV24" s="114" t="e">
        <f t="shared" si="7"/>
        <v>#N/A</v>
      </c>
      <c r="BW24" s="162" t="e">
        <f t="shared" si="69"/>
        <v>#N/A</v>
      </c>
      <c r="BX24" s="162" t="e">
        <f t="shared" si="70"/>
        <v>#N/A</v>
      </c>
      <c r="BY24" s="162" t="e">
        <f t="shared" si="71"/>
        <v>#N/A</v>
      </c>
      <c r="BZ24" s="113" t="e">
        <f t="shared" si="10"/>
        <v>#N/A</v>
      </c>
      <c r="CA24" s="144">
        <f>SUMIFS(購入実績入力シート[購入数量],購入実績入力シート[対象月],'管理シート（本体）'!BZ$8,購入実績入力シート[氏名],管理シート[[#This Row],[氏名]],購入実績入力シート[燃料別],管理シート[[#This Row],[燃料別]])</f>
        <v>0</v>
      </c>
      <c r="CB24" s="114" t="e">
        <f t="shared" si="11"/>
        <v>#N/A</v>
      </c>
      <c r="CC24" s="162" t="e">
        <f t="shared" si="72"/>
        <v>#N/A</v>
      </c>
      <c r="CD24" s="162" t="e">
        <f t="shared" si="73"/>
        <v>#N/A</v>
      </c>
      <c r="CE24" s="162" t="e">
        <f t="shared" si="74"/>
        <v>#N/A</v>
      </c>
      <c r="CF24" s="113" t="e">
        <f t="shared" si="12"/>
        <v>#N/A</v>
      </c>
      <c r="CG24" s="144">
        <f>SUMIFS(購入実績入力シート[購入数量],購入実績入力シート[対象月],'管理シート（本体）'!CF$8,購入実績入力シート[氏名],管理シート[[#This Row],[氏名]],購入実績入力シート[燃料別],管理シート[[#This Row],[燃料別]])</f>
        <v>0</v>
      </c>
      <c r="CH24" s="114" t="e">
        <f t="shared" si="13"/>
        <v>#N/A</v>
      </c>
      <c r="CI24" s="162" t="e">
        <f t="shared" si="75"/>
        <v>#N/A</v>
      </c>
      <c r="CJ24" s="162" t="e">
        <f t="shared" si="76"/>
        <v>#N/A</v>
      </c>
      <c r="CK24" s="162" t="e">
        <f t="shared" si="77"/>
        <v>#N/A</v>
      </c>
      <c r="CL24" s="113" t="e">
        <f t="shared" si="14"/>
        <v>#N/A</v>
      </c>
      <c r="CM24" s="144">
        <f>SUMIFS(購入実績入力シート[購入数量],購入実績入力シート[対象月],'管理シート（本体）'!CL$8,購入実績入力シート[氏名],管理シート[[#This Row],[氏名]],購入実績入力シート[燃料別],管理シート[[#This Row],[燃料別]])</f>
        <v>0</v>
      </c>
      <c r="CN24" s="114" t="e">
        <f t="shared" si="15"/>
        <v>#N/A</v>
      </c>
      <c r="CO24" s="162" t="e">
        <f t="shared" si="78"/>
        <v>#N/A</v>
      </c>
      <c r="CP24" s="162" t="e">
        <f t="shared" si="79"/>
        <v>#N/A</v>
      </c>
      <c r="CQ24" s="162" t="e">
        <f t="shared" si="80"/>
        <v>#N/A</v>
      </c>
      <c r="CR24" s="113" t="e">
        <f t="shared" si="16"/>
        <v>#N/A</v>
      </c>
      <c r="CS24" s="144">
        <f>SUMIFS(購入実績入力シート[購入数量],購入実績入力シート[対象月],'管理シート（本体）'!CR$8,購入実績入力シート[氏名],管理シート[[#This Row],[氏名]],購入実績入力シート[燃料別],管理シート[[#This Row],[燃料別]])</f>
        <v>0</v>
      </c>
      <c r="CT24" s="114" t="e">
        <f t="shared" si="17"/>
        <v>#N/A</v>
      </c>
      <c r="CU24" s="162" t="e">
        <f t="shared" si="81"/>
        <v>#N/A</v>
      </c>
      <c r="CV24" s="162" t="e">
        <f t="shared" si="82"/>
        <v>#N/A</v>
      </c>
      <c r="CW24" s="162" t="e">
        <f t="shared" si="83"/>
        <v>#N/A</v>
      </c>
      <c r="CX24" s="113" t="e">
        <f t="shared" si="20"/>
        <v>#N/A</v>
      </c>
      <c r="CY24" s="144">
        <f>SUMIFS(購入実績入力シート[購入数量],購入実績入力シート[対象月],'管理シート（本体）'!CX$8,購入実績入力シート[氏名],管理シート[[#This Row],[氏名]],購入実績入力シート[燃料別],管理シート[[#This Row],[燃料別]])</f>
        <v>0</v>
      </c>
      <c r="CZ24" s="114" t="e">
        <f t="shared" si="21"/>
        <v>#N/A</v>
      </c>
      <c r="DA24" s="162" t="e">
        <f t="shared" si="84"/>
        <v>#N/A</v>
      </c>
      <c r="DB24" s="162" t="e">
        <f t="shared" si="50"/>
        <v>#N/A</v>
      </c>
      <c r="DC24" s="162" t="e">
        <f t="shared" si="22"/>
        <v>#N/A</v>
      </c>
      <c r="DD24" s="108" t="e">
        <f t="shared" si="23"/>
        <v>#N/A</v>
      </c>
      <c r="DE24" s="108" t="e">
        <f t="shared" si="24"/>
        <v>#N/A</v>
      </c>
      <c r="DF24" s="94"/>
      <c r="DG24" s="174">
        <f t="shared" si="25"/>
        <v>0</v>
      </c>
    </row>
    <row r="25" spans="1:111" ht="19.95" customHeight="1">
      <c r="A25" s="176" t="str">
        <f t="shared" si="51"/>
        <v>山梨県水田畑作農業再生協議会</v>
      </c>
      <c r="B25" s="176">
        <f t="shared" si="26"/>
        <v>0</v>
      </c>
      <c r="C25" s="176" t="str">
        <f t="shared" si="26"/>
        <v>団体A</v>
      </c>
      <c r="D25" s="176" t="str">
        <f t="shared" si="26"/>
        <v>会長　○○　○○</v>
      </c>
      <c r="E25" s="176" t="str">
        <f t="shared" si="26"/>
        <v>000-0000</v>
      </c>
      <c r="F25" s="176" t="str">
        <f t="shared" si="26"/>
        <v>甲府市○○</v>
      </c>
      <c r="G25" s="176" t="str">
        <f t="shared" si="26"/>
        <v>R6～R8</v>
      </c>
      <c r="H25" s="176" t="str">
        <f t="shared" si="26"/>
        <v>10月～翌６月</v>
      </c>
      <c r="I25" s="90">
        <v>12</v>
      </c>
      <c r="J25" s="90"/>
      <c r="K25" s="91" t="s">
        <v>326</v>
      </c>
      <c r="L25" s="92"/>
      <c r="M25" s="268"/>
      <c r="N25" s="271"/>
      <c r="O25" s="90"/>
      <c r="P25" s="272"/>
      <c r="Q25" s="272"/>
      <c r="R25" s="6"/>
      <c r="S25" s="107">
        <f t="shared" si="52"/>
        <v>0</v>
      </c>
      <c r="T25" s="272"/>
      <c r="U25" s="11"/>
      <c r="V25" s="108">
        <f t="shared" si="55"/>
        <v>0</v>
      </c>
      <c r="W25" s="12"/>
      <c r="X25" s="109">
        <f t="shared" si="56"/>
        <v>0</v>
      </c>
      <c r="Y25" s="110">
        <f t="shared" si="28"/>
        <v>0</v>
      </c>
      <c r="Z25" s="276"/>
      <c r="AA25" s="276"/>
      <c r="AB25" s="95"/>
      <c r="AC25" s="95"/>
      <c r="AD25" s="95"/>
      <c r="AE25" s="95"/>
      <c r="AF25" s="94"/>
      <c r="AG25" s="111">
        <f t="shared" si="29"/>
        <v>0</v>
      </c>
      <c r="AH25" s="96"/>
      <c r="AI25" s="111">
        <f t="shared" si="0"/>
        <v>0</v>
      </c>
      <c r="AJ25" s="94"/>
      <c r="AK25" s="94"/>
      <c r="AL25" s="94"/>
      <c r="AM25" s="94"/>
      <c r="AN25" s="94"/>
      <c r="AO25" s="94"/>
      <c r="AP25" s="94"/>
      <c r="AQ25" s="97"/>
      <c r="AR25" s="94"/>
      <c r="AS25" s="94"/>
      <c r="AT25" s="94"/>
      <c r="AU25" s="94"/>
      <c r="AV25" s="97"/>
      <c r="AW25" s="97"/>
      <c r="AX25" s="94"/>
      <c r="AY25" s="94"/>
      <c r="AZ25" s="97"/>
      <c r="BA25" s="261"/>
      <c r="BB25" s="113" t="e">
        <f t="shared" si="1"/>
        <v>#N/A</v>
      </c>
      <c r="BC25" s="142">
        <f>SUMIFS(購入実績入力シート[購入数量],購入実績入力シート[対象月],'管理シート（本体）'!BB$8,購入実績入力シート[氏名],管理シート[[#This Row],[氏名]],購入実績入力シート[燃料別],管理シート[[#This Row],[燃料別]])</f>
        <v>0</v>
      </c>
      <c r="BD25" s="114" t="e">
        <f t="shared" si="30"/>
        <v>#N/A</v>
      </c>
      <c r="BE25" s="162" t="e">
        <f t="shared" si="60"/>
        <v>#N/A</v>
      </c>
      <c r="BF25" s="162" t="e">
        <f t="shared" si="61"/>
        <v>#N/A</v>
      </c>
      <c r="BG25" s="162" t="e">
        <f t="shared" si="62"/>
        <v>#N/A</v>
      </c>
      <c r="BH25" s="113" t="e">
        <f t="shared" si="2"/>
        <v>#N/A</v>
      </c>
      <c r="BI25" s="144">
        <f>SUMIFS(購入実績入力シート[購入数量],購入実績入力シート[対象月],'管理シート（本体）'!BH$8,購入実績入力シート[氏名],管理シート[[#This Row],[氏名]],購入実績入力シート[燃料別],管理シート[[#This Row],[燃料別]])</f>
        <v>0</v>
      </c>
      <c r="BJ25" s="114" t="e">
        <f t="shared" si="3"/>
        <v>#N/A</v>
      </c>
      <c r="BK25" s="162" t="e">
        <f t="shared" si="63"/>
        <v>#N/A</v>
      </c>
      <c r="BL25" s="162" t="e">
        <f t="shared" si="64"/>
        <v>#N/A</v>
      </c>
      <c r="BM25" s="162" t="e">
        <f t="shared" si="65"/>
        <v>#N/A</v>
      </c>
      <c r="BN25" s="113" t="e">
        <f t="shared" si="4"/>
        <v>#N/A</v>
      </c>
      <c r="BO25" s="144">
        <f>SUMIFS(購入実績入力シート[購入数量],購入実績入力シート[対象月],'管理シート（本体）'!BN$8,購入実績入力シート[氏名],管理シート[[#This Row],[氏名]],購入実績入力シート[燃料別],管理シート[[#This Row],[燃料別]])</f>
        <v>0</v>
      </c>
      <c r="BP25" s="114" t="e">
        <f t="shared" si="5"/>
        <v>#N/A</v>
      </c>
      <c r="BQ25" s="162" t="e">
        <f t="shared" si="66"/>
        <v>#N/A</v>
      </c>
      <c r="BR25" s="162" t="e">
        <f t="shared" si="67"/>
        <v>#N/A</v>
      </c>
      <c r="BS25" s="162" t="e">
        <f t="shared" si="68"/>
        <v>#N/A</v>
      </c>
      <c r="BT25" s="113" t="e">
        <f t="shared" si="6"/>
        <v>#N/A</v>
      </c>
      <c r="BU25" s="144">
        <f>SUMIFS(購入実績入力シート[購入数量],購入実績入力シート[対象月],'管理シート（本体）'!BT$8,購入実績入力シート[氏名],管理シート[[#This Row],[氏名]],購入実績入力シート[燃料別],管理シート[[#This Row],[燃料別]])</f>
        <v>0</v>
      </c>
      <c r="BV25" s="114" t="e">
        <f t="shared" si="7"/>
        <v>#N/A</v>
      </c>
      <c r="BW25" s="162" t="e">
        <f t="shared" si="69"/>
        <v>#N/A</v>
      </c>
      <c r="BX25" s="162" t="e">
        <f t="shared" si="70"/>
        <v>#N/A</v>
      </c>
      <c r="BY25" s="162" t="e">
        <f t="shared" si="71"/>
        <v>#N/A</v>
      </c>
      <c r="BZ25" s="113" t="e">
        <f t="shared" si="10"/>
        <v>#N/A</v>
      </c>
      <c r="CA25" s="144">
        <f>SUMIFS(購入実績入力シート[購入数量],購入実績入力シート[対象月],'管理シート（本体）'!BZ$8,購入実績入力シート[氏名],管理シート[[#This Row],[氏名]],購入実績入力シート[燃料別],管理シート[[#This Row],[燃料別]])</f>
        <v>0</v>
      </c>
      <c r="CB25" s="114" t="e">
        <f t="shared" si="11"/>
        <v>#N/A</v>
      </c>
      <c r="CC25" s="162" t="e">
        <f t="shared" si="72"/>
        <v>#N/A</v>
      </c>
      <c r="CD25" s="162" t="e">
        <f t="shared" si="73"/>
        <v>#N/A</v>
      </c>
      <c r="CE25" s="162" t="e">
        <f t="shared" si="74"/>
        <v>#N/A</v>
      </c>
      <c r="CF25" s="113" t="e">
        <f t="shared" si="12"/>
        <v>#N/A</v>
      </c>
      <c r="CG25" s="144">
        <f>SUMIFS(購入実績入力シート[購入数量],購入実績入力シート[対象月],'管理シート（本体）'!CF$8,購入実績入力シート[氏名],管理シート[[#This Row],[氏名]],購入実績入力シート[燃料別],管理シート[[#This Row],[燃料別]])</f>
        <v>0</v>
      </c>
      <c r="CH25" s="114" t="e">
        <f t="shared" si="13"/>
        <v>#N/A</v>
      </c>
      <c r="CI25" s="162" t="e">
        <f t="shared" si="75"/>
        <v>#N/A</v>
      </c>
      <c r="CJ25" s="162" t="e">
        <f t="shared" si="76"/>
        <v>#N/A</v>
      </c>
      <c r="CK25" s="162" t="e">
        <f t="shared" si="77"/>
        <v>#N/A</v>
      </c>
      <c r="CL25" s="113" t="e">
        <f t="shared" si="14"/>
        <v>#N/A</v>
      </c>
      <c r="CM25" s="144">
        <f>SUMIFS(購入実績入力シート[購入数量],購入実績入力シート[対象月],'管理シート（本体）'!CL$8,購入実績入力シート[氏名],管理シート[[#This Row],[氏名]],購入実績入力シート[燃料別],管理シート[[#This Row],[燃料別]])</f>
        <v>0</v>
      </c>
      <c r="CN25" s="114" t="e">
        <f t="shared" si="15"/>
        <v>#N/A</v>
      </c>
      <c r="CO25" s="162" t="e">
        <f t="shared" si="78"/>
        <v>#N/A</v>
      </c>
      <c r="CP25" s="162" t="e">
        <f t="shared" si="79"/>
        <v>#N/A</v>
      </c>
      <c r="CQ25" s="162" t="e">
        <f t="shared" si="80"/>
        <v>#N/A</v>
      </c>
      <c r="CR25" s="113" t="e">
        <f t="shared" si="16"/>
        <v>#N/A</v>
      </c>
      <c r="CS25" s="144">
        <f>SUMIFS(購入実績入力シート[購入数量],購入実績入力シート[対象月],'管理シート（本体）'!CR$8,購入実績入力シート[氏名],管理シート[[#This Row],[氏名]],購入実績入力シート[燃料別],管理シート[[#This Row],[燃料別]])</f>
        <v>0</v>
      </c>
      <c r="CT25" s="114" t="e">
        <f t="shared" si="17"/>
        <v>#N/A</v>
      </c>
      <c r="CU25" s="162" t="e">
        <f t="shared" si="81"/>
        <v>#N/A</v>
      </c>
      <c r="CV25" s="162" t="e">
        <f t="shared" si="82"/>
        <v>#N/A</v>
      </c>
      <c r="CW25" s="162" t="e">
        <f t="shared" si="83"/>
        <v>#N/A</v>
      </c>
      <c r="CX25" s="113" t="e">
        <f t="shared" si="20"/>
        <v>#N/A</v>
      </c>
      <c r="CY25" s="144">
        <f>SUMIFS(購入実績入力シート[購入数量],購入実績入力シート[対象月],'管理シート（本体）'!CX$8,購入実績入力シート[氏名],管理シート[[#This Row],[氏名]],購入実績入力シート[燃料別],管理シート[[#This Row],[燃料別]])</f>
        <v>0</v>
      </c>
      <c r="CZ25" s="114" t="e">
        <f t="shared" si="21"/>
        <v>#N/A</v>
      </c>
      <c r="DA25" s="162" t="e">
        <f t="shared" si="84"/>
        <v>#N/A</v>
      </c>
      <c r="DB25" s="162" t="e">
        <f t="shared" si="50"/>
        <v>#N/A</v>
      </c>
      <c r="DC25" s="162" t="e">
        <f t="shared" si="22"/>
        <v>#N/A</v>
      </c>
      <c r="DD25" s="108" t="e">
        <f t="shared" si="23"/>
        <v>#N/A</v>
      </c>
      <c r="DE25" s="108" t="e">
        <f t="shared" si="24"/>
        <v>#N/A</v>
      </c>
      <c r="DF25" s="94"/>
      <c r="DG25" s="174">
        <f t="shared" si="25"/>
        <v>0</v>
      </c>
    </row>
    <row r="26" spans="1:111" ht="19.95" customHeight="1">
      <c r="A26" s="176" t="str">
        <f t="shared" si="51"/>
        <v>山梨県水田畑作農業再生協議会</v>
      </c>
      <c r="B26" s="176">
        <f t="shared" si="26"/>
        <v>0</v>
      </c>
      <c r="C26" s="176" t="str">
        <f t="shared" si="26"/>
        <v>団体A</v>
      </c>
      <c r="D26" s="176" t="str">
        <f t="shared" si="26"/>
        <v>会長　○○　○○</v>
      </c>
      <c r="E26" s="176" t="str">
        <f t="shared" si="26"/>
        <v>000-0000</v>
      </c>
      <c r="F26" s="176" t="str">
        <f t="shared" si="26"/>
        <v>甲府市○○</v>
      </c>
      <c r="G26" s="176" t="str">
        <f t="shared" si="26"/>
        <v>R6～R8</v>
      </c>
      <c r="H26" s="176" t="str">
        <f t="shared" si="26"/>
        <v>10月～翌６月</v>
      </c>
      <c r="I26" s="90">
        <v>13</v>
      </c>
      <c r="J26" s="90"/>
      <c r="K26" s="91" t="s">
        <v>327</v>
      </c>
      <c r="L26" s="102"/>
      <c r="M26" s="268"/>
      <c r="N26" s="271"/>
      <c r="O26" s="90"/>
      <c r="P26" s="272"/>
      <c r="Q26" s="272"/>
      <c r="R26" s="6"/>
      <c r="S26" s="107">
        <f t="shared" si="52"/>
        <v>0</v>
      </c>
      <c r="T26" s="272"/>
      <c r="U26" s="11"/>
      <c r="V26" s="108">
        <f t="shared" si="55"/>
        <v>0</v>
      </c>
      <c r="W26" s="12"/>
      <c r="X26" s="109">
        <f>R26+T26+V26</f>
        <v>0</v>
      </c>
      <c r="Y26" s="110">
        <f t="shared" si="28"/>
        <v>0</v>
      </c>
      <c r="Z26" s="276"/>
      <c r="AA26" s="276"/>
      <c r="AB26" s="95"/>
      <c r="AC26" s="95"/>
      <c r="AD26" s="95"/>
      <c r="AE26" s="95"/>
      <c r="AF26" s="94"/>
      <c r="AG26" s="111">
        <f t="shared" si="29"/>
        <v>0</v>
      </c>
      <c r="AH26" s="96"/>
      <c r="AI26" s="111">
        <f t="shared" si="0"/>
        <v>0</v>
      </c>
      <c r="AJ26" s="94"/>
      <c r="AK26" s="94"/>
      <c r="AL26" s="94"/>
      <c r="AM26" s="94"/>
      <c r="AN26" s="94"/>
      <c r="AO26" s="94"/>
      <c r="AP26" s="94"/>
      <c r="AQ26" s="97"/>
      <c r="AR26" s="94"/>
      <c r="AS26" s="94"/>
      <c r="AT26" s="94"/>
      <c r="AU26" s="94"/>
      <c r="AV26" s="97"/>
      <c r="AW26" s="97"/>
      <c r="AX26" s="94"/>
      <c r="AY26" s="94"/>
      <c r="AZ26" s="97"/>
      <c r="BA26" s="96"/>
      <c r="BB26" s="113" t="e">
        <f t="shared" si="1"/>
        <v>#N/A</v>
      </c>
      <c r="BC26" s="142">
        <f>SUMIFS(購入実績入力シート[購入数量],購入実績入力シート[対象月],'管理シート（本体）'!BB$8,購入実績入力シート[氏名],管理シート[[#This Row],[氏名]],購入実績入力シート[燃料別],管理シート[[#This Row],[燃料別]])</f>
        <v>0</v>
      </c>
      <c r="BD26" s="114" t="e">
        <f t="shared" si="30"/>
        <v>#N/A</v>
      </c>
      <c r="BE26" s="162" t="e">
        <f t="shared" si="60"/>
        <v>#N/A</v>
      </c>
      <c r="BF26" s="162" t="e">
        <f t="shared" si="61"/>
        <v>#N/A</v>
      </c>
      <c r="BG26" s="162" t="e">
        <f t="shared" si="62"/>
        <v>#N/A</v>
      </c>
      <c r="BH26" s="113" t="e">
        <f t="shared" si="2"/>
        <v>#N/A</v>
      </c>
      <c r="BI26" s="144">
        <f>SUMIFS(購入実績入力シート[購入数量],購入実績入力シート[対象月],'管理シート（本体）'!BH$8,購入実績入力シート[氏名],管理シート[[#This Row],[氏名]],購入実績入力シート[燃料別],管理シート[[#This Row],[燃料別]])</f>
        <v>0</v>
      </c>
      <c r="BJ26" s="114" t="e">
        <f t="shared" si="3"/>
        <v>#N/A</v>
      </c>
      <c r="BK26" s="162" t="e">
        <f t="shared" si="63"/>
        <v>#N/A</v>
      </c>
      <c r="BL26" s="162" t="e">
        <f t="shared" si="64"/>
        <v>#N/A</v>
      </c>
      <c r="BM26" s="162" t="e">
        <f t="shared" si="65"/>
        <v>#N/A</v>
      </c>
      <c r="BN26" s="113" t="e">
        <f t="shared" si="4"/>
        <v>#N/A</v>
      </c>
      <c r="BO26" s="144">
        <f>SUMIFS(購入実績入力シート[購入数量],購入実績入力シート[対象月],'管理シート（本体）'!BN$8,購入実績入力シート[氏名],管理シート[[#This Row],[氏名]],購入実績入力シート[燃料別],管理シート[[#This Row],[燃料別]])</f>
        <v>0</v>
      </c>
      <c r="BP26" s="114" t="e">
        <f t="shared" si="5"/>
        <v>#N/A</v>
      </c>
      <c r="BQ26" s="162" t="e">
        <f t="shared" si="66"/>
        <v>#N/A</v>
      </c>
      <c r="BR26" s="162" t="e">
        <f t="shared" si="67"/>
        <v>#N/A</v>
      </c>
      <c r="BS26" s="162" t="e">
        <f t="shared" si="68"/>
        <v>#N/A</v>
      </c>
      <c r="BT26" s="113" t="e">
        <f t="shared" si="6"/>
        <v>#N/A</v>
      </c>
      <c r="BU26" s="144">
        <f>SUMIFS(購入実績入力シート[購入数量],購入実績入力シート[対象月],'管理シート（本体）'!BT$8,購入実績入力シート[氏名],管理シート[[#This Row],[氏名]],購入実績入力シート[燃料別],管理シート[[#This Row],[燃料別]])</f>
        <v>0</v>
      </c>
      <c r="BV26" s="114" t="e">
        <f t="shared" si="7"/>
        <v>#N/A</v>
      </c>
      <c r="BW26" s="162" t="e">
        <f t="shared" si="69"/>
        <v>#N/A</v>
      </c>
      <c r="BX26" s="162" t="e">
        <f t="shared" si="70"/>
        <v>#N/A</v>
      </c>
      <c r="BY26" s="162" t="e">
        <f t="shared" si="71"/>
        <v>#N/A</v>
      </c>
      <c r="BZ26" s="113" t="e">
        <f t="shared" si="10"/>
        <v>#N/A</v>
      </c>
      <c r="CA26" s="144">
        <f>SUMIFS(購入実績入力シート[購入数量],購入実績入力シート[対象月],'管理シート（本体）'!BZ$8,購入実績入力シート[氏名],管理シート[[#This Row],[氏名]],購入実績入力シート[燃料別],管理シート[[#This Row],[燃料別]])</f>
        <v>0</v>
      </c>
      <c r="CB26" s="114" t="e">
        <f t="shared" si="11"/>
        <v>#N/A</v>
      </c>
      <c r="CC26" s="162" t="e">
        <f t="shared" si="72"/>
        <v>#N/A</v>
      </c>
      <c r="CD26" s="162" t="e">
        <f t="shared" si="73"/>
        <v>#N/A</v>
      </c>
      <c r="CE26" s="162" t="e">
        <f t="shared" si="74"/>
        <v>#N/A</v>
      </c>
      <c r="CF26" s="113" t="e">
        <f t="shared" si="12"/>
        <v>#N/A</v>
      </c>
      <c r="CG26" s="144">
        <f>SUMIFS(購入実績入力シート[購入数量],購入実績入力シート[対象月],'管理シート（本体）'!CF$8,購入実績入力シート[氏名],管理シート[[#This Row],[氏名]],購入実績入力シート[燃料別],管理シート[[#This Row],[燃料別]])</f>
        <v>0</v>
      </c>
      <c r="CH26" s="114" t="e">
        <f t="shared" si="13"/>
        <v>#N/A</v>
      </c>
      <c r="CI26" s="162" t="e">
        <f t="shared" si="75"/>
        <v>#N/A</v>
      </c>
      <c r="CJ26" s="162" t="e">
        <f t="shared" si="76"/>
        <v>#N/A</v>
      </c>
      <c r="CK26" s="162" t="e">
        <f t="shared" si="77"/>
        <v>#N/A</v>
      </c>
      <c r="CL26" s="113" t="e">
        <f t="shared" si="14"/>
        <v>#N/A</v>
      </c>
      <c r="CM26" s="144">
        <f>SUMIFS(購入実績入力シート[購入数量],購入実績入力シート[対象月],'管理シート（本体）'!CL$8,購入実績入力シート[氏名],管理シート[[#This Row],[氏名]],購入実績入力シート[燃料別],管理シート[[#This Row],[燃料別]])</f>
        <v>0</v>
      </c>
      <c r="CN26" s="114" t="e">
        <f t="shared" si="15"/>
        <v>#N/A</v>
      </c>
      <c r="CO26" s="162" t="e">
        <f t="shared" si="78"/>
        <v>#N/A</v>
      </c>
      <c r="CP26" s="162" t="e">
        <f t="shared" si="79"/>
        <v>#N/A</v>
      </c>
      <c r="CQ26" s="162" t="e">
        <f t="shared" si="80"/>
        <v>#N/A</v>
      </c>
      <c r="CR26" s="113" t="e">
        <f t="shared" si="16"/>
        <v>#N/A</v>
      </c>
      <c r="CS26" s="144">
        <f>SUMIFS(購入実績入力シート[購入数量],購入実績入力シート[対象月],'管理シート（本体）'!CR$8,購入実績入力シート[氏名],管理シート[[#This Row],[氏名]],購入実績入力シート[燃料別],管理シート[[#This Row],[燃料別]])</f>
        <v>0</v>
      </c>
      <c r="CT26" s="114" t="e">
        <f t="shared" si="17"/>
        <v>#N/A</v>
      </c>
      <c r="CU26" s="162" t="e">
        <f t="shared" si="81"/>
        <v>#N/A</v>
      </c>
      <c r="CV26" s="162" t="e">
        <f t="shared" si="82"/>
        <v>#N/A</v>
      </c>
      <c r="CW26" s="162" t="e">
        <f t="shared" si="83"/>
        <v>#N/A</v>
      </c>
      <c r="CX26" s="113" t="e">
        <f t="shared" si="20"/>
        <v>#N/A</v>
      </c>
      <c r="CY26" s="144">
        <f>SUMIFS(購入実績入力シート[購入数量],購入実績入力シート[対象月],'管理シート（本体）'!CX$8,購入実績入力シート[氏名],管理シート[[#This Row],[氏名]],購入実績入力シート[燃料別],管理シート[[#This Row],[燃料別]])</f>
        <v>0</v>
      </c>
      <c r="CZ26" s="114" t="e">
        <f t="shared" si="21"/>
        <v>#N/A</v>
      </c>
      <c r="DA26" s="162" t="e">
        <f t="shared" si="84"/>
        <v>#N/A</v>
      </c>
      <c r="DB26" s="162" t="e">
        <f t="shared" si="50"/>
        <v>#N/A</v>
      </c>
      <c r="DC26" s="162" t="e">
        <f t="shared" si="22"/>
        <v>#N/A</v>
      </c>
      <c r="DD26" s="108" t="e">
        <f t="shared" si="23"/>
        <v>#N/A</v>
      </c>
      <c r="DE26" s="108" t="e">
        <f t="shared" si="24"/>
        <v>#N/A</v>
      </c>
      <c r="DF26" s="94"/>
      <c r="DG26" s="174">
        <f t="shared" si="25"/>
        <v>0</v>
      </c>
    </row>
    <row r="27" spans="1:111" ht="19.95" customHeight="1">
      <c r="A27" s="176" t="str">
        <f t="shared" si="51"/>
        <v>山梨県水田畑作農業再生協議会</v>
      </c>
      <c r="B27" s="176">
        <f t="shared" si="26"/>
        <v>0</v>
      </c>
      <c r="C27" s="176" t="str">
        <f t="shared" si="26"/>
        <v>団体A</v>
      </c>
      <c r="D27" s="176" t="str">
        <f t="shared" si="26"/>
        <v>会長　○○　○○</v>
      </c>
      <c r="E27" s="176" t="str">
        <f t="shared" si="26"/>
        <v>000-0000</v>
      </c>
      <c r="F27" s="176" t="str">
        <f t="shared" si="26"/>
        <v>甲府市○○</v>
      </c>
      <c r="G27" s="176" t="str">
        <f t="shared" si="26"/>
        <v>R6～R8</v>
      </c>
      <c r="H27" s="176" t="str">
        <f t="shared" si="26"/>
        <v>10月～翌６月</v>
      </c>
      <c r="I27" s="255">
        <v>14</v>
      </c>
      <c r="J27" s="255"/>
      <c r="K27" s="91" t="s">
        <v>328</v>
      </c>
      <c r="L27" s="256"/>
      <c r="M27" s="268"/>
      <c r="N27" s="271"/>
      <c r="O27" s="90"/>
      <c r="P27" s="272"/>
      <c r="Q27" s="272"/>
      <c r="R27" s="6"/>
      <c r="S27" s="107">
        <f t="shared" si="52"/>
        <v>0</v>
      </c>
      <c r="T27" s="272"/>
      <c r="U27" s="258"/>
      <c r="V27" s="108">
        <f t="shared" si="55"/>
        <v>0</v>
      </c>
      <c r="W27" s="259"/>
      <c r="X27" s="109">
        <f t="shared" si="56"/>
        <v>0</v>
      </c>
      <c r="Y27" s="110">
        <f t="shared" si="28"/>
        <v>0</v>
      </c>
      <c r="Z27" s="276"/>
      <c r="AA27" s="276"/>
      <c r="AB27" s="95"/>
      <c r="AC27" s="95"/>
      <c r="AD27" s="95"/>
      <c r="AE27" s="95"/>
      <c r="AF27" s="257"/>
      <c r="AG27" s="111">
        <f t="shared" si="29"/>
        <v>0</v>
      </c>
      <c r="AH27" s="260"/>
      <c r="AI27" s="111">
        <f t="shared" si="0"/>
        <v>0</v>
      </c>
      <c r="AJ27" s="257"/>
      <c r="AK27" s="94"/>
      <c r="AL27" s="94"/>
      <c r="AM27" s="94"/>
      <c r="AN27" s="94"/>
      <c r="AO27" s="94"/>
      <c r="AP27" s="94"/>
      <c r="AQ27" s="97"/>
      <c r="AR27" s="94"/>
      <c r="AS27" s="94"/>
      <c r="AT27" s="94"/>
      <c r="AU27" s="94"/>
      <c r="AV27" s="97"/>
      <c r="AW27" s="97"/>
      <c r="AX27" s="94"/>
      <c r="AY27" s="94"/>
      <c r="AZ27" s="97"/>
      <c r="BA27" s="96"/>
      <c r="BB27" s="113" t="e">
        <f t="shared" si="1"/>
        <v>#N/A</v>
      </c>
      <c r="BC27" s="142">
        <f>SUMIFS(購入実績入力シート[購入数量],購入実績入力シート[対象月],'管理シート（本体）'!BB$8,購入実績入力シート[氏名],管理シート[[#This Row],[氏名]],購入実績入力シート[燃料別],管理シート[[#This Row],[燃料別]])</f>
        <v>0</v>
      </c>
      <c r="BD27" s="114" t="e">
        <f t="shared" si="30"/>
        <v>#N/A</v>
      </c>
      <c r="BE27" s="162" t="e">
        <f t="shared" si="60"/>
        <v>#N/A</v>
      </c>
      <c r="BF27" s="162" t="e">
        <f t="shared" si="61"/>
        <v>#N/A</v>
      </c>
      <c r="BG27" s="162" t="e">
        <f t="shared" si="62"/>
        <v>#N/A</v>
      </c>
      <c r="BH27" s="113" t="e">
        <f t="shared" si="2"/>
        <v>#N/A</v>
      </c>
      <c r="BI27" s="144">
        <f>SUMIFS(購入実績入力シート[購入数量],購入実績入力シート[対象月],'管理シート（本体）'!BH$8,購入実績入力シート[氏名],管理シート[[#This Row],[氏名]],購入実績入力シート[燃料別],管理シート[[#This Row],[燃料別]])</f>
        <v>0</v>
      </c>
      <c r="BJ27" s="114" t="e">
        <f t="shared" si="3"/>
        <v>#N/A</v>
      </c>
      <c r="BK27" s="162" t="e">
        <f t="shared" si="63"/>
        <v>#N/A</v>
      </c>
      <c r="BL27" s="162" t="e">
        <f t="shared" si="64"/>
        <v>#N/A</v>
      </c>
      <c r="BM27" s="162" t="e">
        <f t="shared" si="65"/>
        <v>#N/A</v>
      </c>
      <c r="BN27" s="113" t="e">
        <f t="shared" si="4"/>
        <v>#N/A</v>
      </c>
      <c r="BO27" s="144">
        <f>SUMIFS(購入実績入力シート[購入数量],購入実績入力シート[対象月],'管理シート（本体）'!BN$8,購入実績入力シート[氏名],管理シート[[#This Row],[氏名]],購入実績入力シート[燃料別],管理シート[[#This Row],[燃料別]])</f>
        <v>0</v>
      </c>
      <c r="BP27" s="114" t="e">
        <f t="shared" si="5"/>
        <v>#N/A</v>
      </c>
      <c r="BQ27" s="162" t="e">
        <f t="shared" si="66"/>
        <v>#N/A</v>
      </c>
      <c r="BR27" s="162" t="e">
        <f t="shared" si="67"/>
        <v>#N/A</v>
      </c>
      <c r="BS27" s="162" t="e">
        <f t="shared" si="68"/>
        <v>#N/A</v>
      </c>
      <c r="BT27" s="113" t="e">
        <f t="shared" si="6"/>
        <v>#N/A</v>
      </c>
      <c r="BU27" s="144">
        <f>SUMIFS(購入実績入力シート[購入数量],購入実績入力シート[対象月],'管理シート（本体）'!BT$8,購入実績入力シート[氏名],管理シート[[#This Row],[氏名]],購入実績入力シート[燃料別],管理シート[[#This Row],[燃料別]])</f>
        <v>0</v>
      </c>
      <c r="BV27" s="114" t="e">
        <f t="shared" si="7"/>
        <v>#N/A</v>
      </c>
      <c r="BW27" s="162" t="e">
        <f t="shared" si="69"/>
        <v>#N/A</v>
      </c>
      <c r="BX27" s="162" t="e">
        <f t="shared" si="70"/>
        <v>#N/A</v>
      </c>
      <c r="BY27" s="162" t="e">
        <f t="shared" si="71"/>
        <v>#N/A</v>
      </c>
      <c r="BZ27" s="113" t="e">
        <f t="shared" si="10"/>
        <v>#N/A</v>
      </c>
      <c r="CA27" s="144">
        <f>SUMIFS(購入実績入力シート[購入数量],購入実績入力シート[対象月],'管理シート（本体）'!BZ$8,購入実績入力シート[氏名],管理シート[[#This Row],[氏名]],購入実績入力シート[燃料別],管理シート[[#This Row],[燃料別]])</f>
        <v>0</v>
      </c>
      <c r="CB27" s="114" t="e">
        <f t="shared" si="11"/>
        <v>#N/A</v>
      </c>
      <c r="CC27" s="162" t="e">
        <f t="shared" si="72"/>
        <v>#N/A</v>
      </c>
      <c r="CD27" s="162" t="e">
        <f t="shared" si="73"/>
        <v>#N/A</v>
      </c>
      <c r="CE27" s="162" t="e">
        <f t="shared" si="74"/>
        <v>#N/A</v>
      </c>
      <c r="CF27" s="113" t="e">
        <f t="shared" si="12"/>
        <v>#N/A</v>
      </c>
      <c r="CG27" s="144">
        <f>SUMIFS(購入実績入力シート[購入数量],購入実績入力シート[対象月],'管理シート（本体）'!CF$8,購入実績入力シート[氏名],管理シート[[#This Row],[氏名]],購入実績入力シート[燃料別],管理シート[[#This Row],[燃料別]])</f>
        <v>0</v>
      </c>
      <c r="CH27" s="114" t="e">
        <f t="shared" si="13"/>
        <v>#N/A</v>
      </c>
      <c r="CI27" s="162" t="e">
        <f t="shared" si="75"/>
        <v>#N/A</v>
      </c>
      <c r="CJ27" s="162" t="e">
        <f t="shared" si="76"/>
        <v>#N/A</v>
      </c>
      <c r="CK27" s="162" t="e">
        <f t="shared" si="77"/>
        <v>#N/A</v>
      </c>
      <c r="CL27" s="113" t="e">
        <f t="shared" si="14"/>
        <v>#N/A</v>
      </c>
      <c r="CM27" s="144">
        <f>SUMIFS(購入実績入力シート[購入数量],購入実績入力シート[対象月],'管理シート（本体）'!CL$8,購入実績入力シート[氏名],管理シート[[#This Row],[氏名]],購入実績入力シート[燃料別],管理シート[[#This Row],[燃料別]])</f>
        <v>0</v>
      </c>
      <c r="CN27" s="114" t="e">
        <f t="shared" si="15"/>
        <v>#N/A</v>
      </c>
      <c r="CO27" s="162" t="e">
        <f t="shared" si="78"/>
        <v>#N/A</v>
      </c>
      <c r="CP27" s="162" t="e">
        <f t="shared" si="79"/>
        <v>#N/A</v>
      </c>
      <c r="CQ27" s="162" t="e">
        <f t="shared" si="80"/>
        <v>#N/A</v>
      </c>
      <c r="CR27" s="113" t="e">
        <f t="shared" si="16"/>
        <v>#N/A</v>
      </c>
      <c r="CS27" s="144">
        <f>SUMIFS(購入実績入力シート[購入数量],購入実績入力シート[対象月],'管理シート（本体）'!CR$8,購入実績入力シート[氏名],管理シート[[#This Row],[氏名]],購入実績入力シート[燃料別],管理シート[[#This Row],[燃料別]])</f>
        <v>0</v>
      </c>
      <c r="CT27" s="114" t="e">
        <f t="shared" si="17"/>
        <v>#N/A</v>
      </c>
      <c r="CU27" s="162" t="e">
        <f t="shared" si="81"/>
        <v>#N/A</v>
      </c>
      <c r="CV27" s="162" t="e">
        <f t="shared" si="82"/>
        <v>#N/A</v>
      </c>
      <c r="CW27" s="162" t="e">
        <f t="shared" si="83"/>
        <v>#N/A</v>
      </c>
      <c r="CX27" s="113" t="e">
        <f t="shared" si="20"/>
        <v>#N/A</v>
      </c>
      <c r="CY27" s="144">
        <f>SUMIFS(購入実績入力シート[購入数量],購入実績入力シート[対象月],'管理シート（本体）'!CX$8,購入実績入力シート[氏名],管理シート[[#This Row],[氏名]],購入実績入力シート[燃料別],管理シート[[#This Row],[燃料別]])</f>
        <v>0</v>
      </c>
      <c r="CZ27" s="114" t="e">
        <f t="shared" si="21"/>
        <v>#N/A</v>
      </c>
      <c r="DA27" s="162" t="e">
        <f t="shared" si="84"/>
        <v>#N/A</v>
      </c>
      <c r="DB27" s="162" t="e">
        <f t="shared" si="50"/>
        <v>#N/A</v>
      </c>
      <c r="DC27" s="162" t="e">
        <f t="shared" si="22"/>
        <v>#N/A</v>
      </c>
      <c r="DD27" s="108" t="e">
        <f t="shared" si="23"/>
        <v>#N/A</v>
      </c>
      <c r="DE27" s="108" t="e">
        <f t="shared" si="24"/>
        <v>#N/A</v>
      </c>
      <c r="DF27" s="94"/>
      <c r="DG27" s="174">
        <f t="shared" si="25"/>
        <v>0</v>
      </c>
    </row>
    <row r="28" spans="1:111" ht="19.95" customHeight="1">
      <c r="A28" s="176" t="str">
        <f t="shared" si="51"/>
        <v>山梨県水田畑作農業再生協議会</v>
      </c>
      <c r="B28" s="176">
        <f t="shared" si="26"/>
        <v>0</v>
      </c>
      <c r="C28" s="176" t="str">
        <f t="shared" si="26"/>
        <v>団体A</v>
      </c>
      <c r="D28" s="176" t="str">
        <f t="shared" si="26"/>
        <v>会長　○○　○○</v>
      </c>
      <c r="E28" s="176" t="str">
        <f t="shared" si="26"/>
        <v>000-0000</v>
      </c>
      <c r="F28" s="176" t="str">
        <f t="shared" si="26"/>
        <v>甲府市○○</v>
      </c>
      <c r="G28" s="176" t="str">
        <f t="shared" si="26"/>
        <v>R6～R8</v>
      </c>
      <c r="H28" s="176" t="str">
        <f t="shared" si="26"/>
        <v>10月～翌６月</v>
      </c>
      <c r="I28" s="90">
        <v>15</v>
      </c>
      <c r="J28" s="90"/>
      <c r="K28" s="91" t="s">
        <v>329</v>
      </c>
      <c r="L28" s="102"/>
      <c r="M28" s="268"/>
      <c r="N28" s="271"/>
      <c r="O28" s="90"/>
      <c r="P28" s="272"/>
      <c r="Q28" s="272"/>
      <c r="R28" s="6"/>
      <c r="S28" s="107">
        <f t="shared" si="52"/>
        <v>0</v>
      </c>
      <c r="T28" s="272"/>
      <c r="U28" s="11"/>
      <c r="V28" s="108">
        <f t="shared" si="55"/>
        <v>0</v>
      </c>
      <c r="W28" s="12"/>
      <c r="X28" s="109">
        <f t="shared" si="56"/>
        <v>0</v>
      </c>
      <c r="Y28" s="110">
        <f t="shared" si="28"/>
        <v>0</v>
      </c>
      <c r="Z28" s="276"/>
      <c r="AA28" s="276"/>
      <c r="AB28" s="95"/>
      <c r="AC28" s="95"/>
      <c r="AD28" s="95"/>
      <c r="AE28" s="95"/>
      <c r="AF28" s="94"/>
      <c r="AG28" s="111">
        <f t="shared" si="29"/>
        <v>0</v>
      </c>
      <c r="AH28" s="96"/>
      <c r="AI28" s="111">
        <f t="shared" si="0"/>
        <v>0</v>
      </c>
      <c r="AJ28" s="94"/>
      <c r="AK28" s="94"/>
      <c r="AL28" s="94"/>
      <c r="AM28" s="94"/>
      <c r="AN28" s="94"/>
      <c r="AO28" s="94"/>
      <c r="AP28" s="94"/>
      <c r="AQ28" s="97"/>
      <c r="AR28" s="94"/>
      <c r="AS28" s="94"/>
      <c r="AT28" s="94"/>
      <c r="AU28" s="94"/>
      <c r="AV28" s="97"/>
      <c r="AW28" s="97"/>
      <c r="AX28" s="94"/>
      <c r="AY28" s="94"/>
      <c r="AZ28" s="97"/>
      <c r="BA28" s="96"/>
      <c r="BB28" s="113" t="e">
        <f t="shared" si="1"/>
        <v>#N/A</v>
      </c>
      <c r="BC28" s="142">
        <f>SUMIFS(購入実績入力シート[購入数量],購入実績入力シート[対象月],'管理シート（本体）'!BB$8,購入実績入力シート[氏名],管理シート[[#This Row],[氏名]],購入実績入力シート[燃料別],管理シート[[#This Row],[燃料別]])</f>
        <v>0</v>
      </c>
      <c r="BD28" s="114" t="e">
        <f t="shared" si="30"/>
        <v>#N/A</v>
      </c>
      <c r="BE28" s="162" t="e">
        <f t="shared" si="53"/>
        <v>#N/A</v>
      </c>
      <c r="BF28" s="162" t="e">
        <f t="shared" ref="BF28:BF29" si="85">ROUNDDOWN(BB28*BD28*1/2,0)</f>
        <v>#N/A</v>
      </c>
      <c r="BG28" s="162" t="e">
        <f t="shared" si="59"/>
        <v>#N/A</v>
      </c>
      <c r="BH28" s="113" t="e">
        <f t="shared" si="2"/>
        <v>#N/A</v>
      </c>
      <c r="BI28" s="144">
        <f>SUMIFS(購入実績入力シート[購入数量],購入実績入力シート[対象月],'管理シート（本体）'!BH$8,購入実績入力シート[氏名],管理シート[[#This Row],[氏名]],購入実績入力シート[燃料別],管理シート[[#This Row],[燃料別]])</f>
        <v>0</v>
      </c>
      <c r="BJ28" s="114" t="e">
        <f t="shared" si="3"/>
        <v>#N/A</v>
      </c>
      <c r="BK28" s="162" t="e">
        <f t="shared" si="57"/>
        <v>#N/A</v>
      </c>
      <c r="BL28" s="162" t="e">
        <f t="shared" si="58"/>
        <v>#N/A</v>
      </c>
      <c r="BM28" s="162" t="e">
        <f t="shared" si="34"/>
        <v>#N/A</v>
      </c>
      <c r="BN28" s="113" t="e">
        <f t="shared" si="4"/>
        <v>#N/A</v>
      </c>
      <c r="BO28" s="144">
        <f>SUMIFS(購入実績入力シート[購入数量],購入実績入力シート[対象月],'管理シート（本体）'!BN$8,購入実績入力シート[氏名],管理シート[[#This Row],[氏名]],購入実績入力シート[燃料別],管理シート[[#This Row],[燃料別]])</f>
        <v>0</v>
      </c>
      <c r="BP28" s="114" t="e">
        <f t="shared" si="5"/>
        <v>#N/A</v>
      </c>
      <c r="BQ28" s="162" t="e">
        <f t="shared" si="35"/>
        <v>#N/A</v>
      </c>
      <c r="BR28" s="162" t="e">
        <f t="shared" si="36"/>
        <v>#N/A</v>
      </c>
      <c r="BS28" s="162" t="e">
        <f t="shared" si="37"/>
        <v>#N/A</v>
      </c>
      <c r="BT28" s="113" t="e">
        <f t="shared" si="6"/>
        <v>#N/A</v>
      </c>
      <c r="BU28" s="144">
        <f>SUMIFS(購入実績入力シート[購入数量],購入実績入力シート[対象月],'管理シート（本体）'!BT$8,購入実績入力シート[氏名],管理シート[[#This Row],[氏名]],購入実績入力シート[燃料別],管理シート[[#This Row],[燃料別]])</f>
        <v>0</v>
      </c>
      <c r="BV28" s="114" t="e">
        <f t="shared" si="7"/>
        <v>#N/A</v>
      </c>
      <c r="BW28" s="162" t="e">
        <f t="shared" si="38"/>
        <v>#N/A</v>
      </c>
      <c r="BX28" s="162" t="e">
        <f t="shared" si="8"/>
        <v>#N/A</v>
      </c>
      <c r="BY28" s="162" t="e">
        <f t="shared" si="9"/>
        <v>#N/A</v>
      </c>
      <c r="BZ28" s="113" t="e">
        <f t="shared" si="10"/>
        <v>#N/A</v>
      </c>
      <c r="CA28" s="144">
        <f>SUMIFS(購入実績入力シート[購入数量],購入実績入力シート[対象月],'管理シート（本体）'!BZ$8,購入実績入力シート[氏名],管理シート[[#This Row],[氏名]],購入実績入力シート[燃料別],管理シート[[#This Row],[燃料別]])</f>
        <v>0</v>
      </c>
      <c r="CB28" s="114" t="e">
        <f t="shared" si="11"/>
        <v>#N/A</v>
      </c>
      <c r="CC28" s="162" t="e">
        <f t="shared" si="39"/>
        <v>#N/A</v>
      </c>
      <c r="CD28" s="162" t="e">
        <f t="shared" si="40"/>
        <v>#N/A</v>
      </c>
      <c r="CE28" s="162" t="e">
        <f t="shared" si="41"/>
        <v>#N/A</v>
      </c>
      <c r="CF28" s="113" t="e">
        <f t="shared" si="12"/>
        <v>#N/A</v>
      </c>
      <c r="CG28" s="144">
        <f>SUMIFS(購入実績入力シート[購入数量],購入実績入力シート[対象月],'管理シート（本体）'!CF$8,購入実績入力シート[氏名],管理シート[[#This Row],[氏名]],購入実績入力シート[燃料別],管理シート[[#This Row],[燃料別]])</f>
        <v>0</v>
      </c>
      <c r="CH28" s="114" t="e">
        <f t="shared" si="13"/>
        <v>#N/A</v>
      </c>
      <c r="CI28" s="162" t="e">
        <f t="shared" si="42"/>
        <v>#N/A</v>
      </c>
      <c r="CJ28" s="162" t="e">
        <f t="shared" si="43"/>
        <v>#N/A</v>
      </c>
      <c r="CK28" s="162" t="e">
        <f t="shared" si="44"/>
        <v>#N/A</v>
      </c>
      <c r="CL28" s="113" t="e">
        <f t="shared" si="14"/>
        <v>#N/A</v>
      </c>
      <c r="CM28" s="144">
        <f>SUMIFS(購入実績入力シート[購入数量],購入実績入力シート[対象月],'管理シート（本体）'!CL$8,購入実績入力シート[氏名],管理シート[[#This Row],[氏名]],購入実績入力シート[燃料別],管理シート[[#This Row],[燃料別]])</f>
        <v>0</v>
      </c>
      <c r="CN28" s="114" t="e">
        <f t="shared" si="15"/>
        <v>#N/A</v>
      </c>
      <c r="CO28" s="162" t="e">
        <f t="shared" si="45"/>
        <v>#N/A</v>
      </c>
      <c r="CP28" s="162" t="e">
        <f t="shared" si="46"/>
        <v>#N/A</v>
      </c>
      <c r="CQ28" s="162" t="e">
        <f t="shared" si="47"/>
        <v>#N/A</v>
      </c>
      <c r="CR28" s="113" t="e">
        <f t="shared" si="16"/>
        <v>#N/A</v>
      </c>
      <c r="CS28" s="144">
        <f>SUMIFS(購入実績入力シート[購入数量],購入実績入力シート[対象月],'管理シート（本体）'!CR$8,購入実績入力シート[氏名],管理シート[[#This Row],[氏名]],購入実績入力シート[燃料別],管理シート[[#This Row],[燃料別]])</f>
        <v>0</v>
      </c>
      <c r="CT28" s="114" t="e">
        <f t="shared" si="17"/>
        <v>#N/A</v>
      </c>
      <c r="CU28" s="162" t="e">
        <f t="shared" si="48"/>
        <v>#N/A</v>
      </c>
      <c r="CV28" s="162" t="e">
        <f t="shared" si="18"/>
        <v>#N/A</v>
      </c>
      <c r="CW28" s="162" t="e">
        <f t="shared" si="19"/>
        <v>#N/A</v>
      </c>
      <c r="CX28" s="113" t="e">
        <f t="shared" si="20"/>
        <v>#N/A</v>
      </c>
      <c r="CY28" s="144">
        <f>SUMIFS(購入実績入力シート[購入数量],購入実績入力シート[対象月],'管理シート（本体）'!CX$8,購入実績入力シート[氏名],管理シート[[#This Row],[氏名]],購入実績入力シート[燃料別],管理シート[[#This Row],[燃料別]])</f>
        <v>0</v>
      </c>
      <c r="CZ28" s="114" t="e">
        <f t="shared" si="21"/>
        <v>#N/A</v>
      </c>
      <c r="DA28" s="162" t="e">
        <f t="shared" si="49"/>
        <v>#N/A</v>
      </c>
      <c r="DB28" s="162" t="e">
        <f t="shared" si="50"/>
        <v>#N/A</v>
      </c>
      <c r="DC28" s="162" t="e">
        <f t="shared" si="22"/>
        <v>#N/A</v>
      </c>
      <c r="DD28" s="108" t="e">
        <f t="shared" si="23"/>
        <v>#N/A</v>
      </c>
      <c r="DE28" s="108" t="e">
        <f t="shared" si="24"/>
        <v>#N/A</v>
      </c>
      <c r="DF28" s="94"/>
      <c r="DG28" s="174">
        <f t="shared" si="25"/>
        <v>0</v>
      </c>
    </row>
    <row r="29" spans="1:111" ht="19.95" customHeight="1">
      <c r="A29" s="176" t="str">
        <f t="shared" si="51"/>
        <v>山梨県水田畑作農業再生協議会</v>
      </c>
      <c r="B29" s="176">
        <f t="shared" si="26"/>
        <v>0</v>
      </c>
      <c r="C29" s="176" t="str">
        <f t="shared" si="26"/>
        <v>団体A</v>
      </c>
      <c r="D29" s="176" t="str">
        <f t="shared" si="26"/>
        <v>会長　○○　○○</v>
      </c>
      <c r="E29" s="176" t="str">
        <f t="shared" si="26"/>
        <v>000-0000</v>
      </c>
      <c r="F29" s="176" t="str">
        <f t="shared" si="26"/>
        <v>甲府市○○</v>
      </c>
      <c r="G29" s="176" t="str">
        <f t="shared" si="26"/>
        <v>R6～R8</v>
      </c>
      <c r="H29" s="176" t="str">
        <f t="shared" si="26"/>
        <v>10月～翌６月</v>
      </c>
      <c r="I29" s="90">
        <v>16</v>
      </c>
      <c r="J29" s="186"/>
      <c r="K29" s="91" t="s">
        <v>330</v>
      </c>
      <c r="L29" s="102"/>
      <c r="M29" s="268"/>
      <c r="N29" s="271"/>
      <c r="O29" s="90"/>
      <c r="P29" s="273"/>
      <c r="Q29" s="274"/>
      <c r="R29" s="275"/>
      <c r="S29" s="107">
        <f t="shared" si="52"/>
        <v>0</v>
      </c>
      <c r="T29" s="273"/>
      <c r="U29" s="11"/>
      <c r="V29" s="108">
        <f t="shared" si="55"/>
        <v>0</v>
      </c>
      <c r="W29" s="12"/>
      <c r="X29" s="109">
        <f t="shared" si="56"/>
        <v>0</v>
      </c>
      <c r="Y29" s="110">
        <f t="shared" si="28"/>
        <v>0</v>
      </c>
      <c r="Z29" s="277"/>
      <c r="AA29" s="277"/>
      <c r="AB29" s="278"/>
      <c r="AC29" s="278"/>
      <c r="AD29" s="278"/>
      <c r="AE29" s="278"/>
      <c r="AF29" s="94"/>
      <c r="AG29" s="111">
        <f t="shared" si="29"/>
        <v>0</v>
      </c>
      <c r="AH29" s="96"/>
      <c r="AI29" s="111">
        <f t="shared" si="0"/>
        <v>0</v>
      </c>
      <c r="AJ29" s="94"/>
      <c r="AK29" s="94"/>
      <c r="AL29" s="94"/>
      <c r="AM29" s="94"/>
      <c r="AN29" s="94"/>
      <c r="AO29" s="94"/>
      <c r="AP29" s="94"/>
      <c r="AQ29" s="187"/>
      <c r="AR29" s="94"/>
      <c r="AS29" s="94"/>
      <c r="AT29" s="94"/>
      <c r="AU29" s="94"/>
      <c r="AV29" s="187"/>
      <c r="AW29" s="187"/>
      <c r="AX29" s="94"/>
      <c r="AY29" s="94"/>
      <c r="AZ29" s="187"/>
      <c r="BA29" s="96"/>
      <c r="BB29" s="113" t="e">
        <f t="shared" si="1"/>
        <v>#N/A</v>
      </c>
      <c r="BC29" s="142">
        <f>SUMIFS(購入実績入力シート[購入数量],購入実績入力シート[対象月],'管理シート（本体）'!BB$8,購入実績入力シート[氏名],管理シート[[#This Row],[氏名]],購入実績入力シート[燃料別],管理シート[[#This Row],[燃料別]])</f>
        <v>0</v>
      </c>
      <c r="BD29" s="114" t="e">
        <f t="shared" si="30"/>
        <v>#N/A</v>
      </c>
      <c r="BE29" s="162" t="e">
        <f t="shared" si="53"/>
        <v>#N/A</v>
      </c>
      <c r="BF29" s="162" t="e">
        <f t="shared" si="85"/>
        <v>#N/A</v>
      </c>
      <c r="BG29" s="162" t="e">
        <f t="shared" si="59"/>
        <v>#N/A</v>
      </c>
      <c r="BH29" s="113" t="e">
        <f t="shared" si="2"/>
        <v>#N/A</v>
      </c>
      <c r="BI29" s="144">
        <f>SUMIFS(購入実績入力シート[購入数量],購入実績入力シート[対象月],'管理シート（本体）'!BH$8,購入実績入力シート[氏名],管理シート[[#This Row],[氏名]],購入実績入力シート[燃料別],管理シート[[#This Row],[燃料別]])</f>
        <v>0</v>
      </c>
      <c r="BJ29" s="114" t="e">
        <f t="shared" si="3"/>
        <v>#N/A</v>
      </c>
      <c r="BK29" s="162" t="e">
        <f t="shared" si="57"/>
        <v>#N/A</v>
      </c>
      <c r="BL29" s="162" t="e">
        <f t="shared" si="58"/>
        <v>#N/A</v>
      </c>
      <c r="BM29" s="162" t="e">
        <f t="shared" si="34"/>
        <v>#N/A</v>
      </c>
      <c r="BN29" s="113" t="e">
        <f t="shared" si="4"/>
        <v>#N/A</v>
      </c>
      <c r="BO29" s="144">
        <f>SUMIFS(購入実績入力シート[購入数量],購入実績入力シート[対象月],'管理シート（本体）'!BN$8,購入実績入力シート[氏名],管理シート[[#This Row],[氏名]],購入実績入力シート[燃料別],管理シート[[#This Row],[燃料別]])</f>
        <v>0</v>
      </c>
      <c r="BP29" s="114" t="e">
        <f t="shared" si="5"/>
        <v>#N/A</v>
      </c>
      <c r="BQ29" s="162" t="e">
        <f t="shared" si="35"/>
        <v>#N/A</v>
      </c>
      <c r="BR29" s="162" t="e">
        <f t="shared" si="36"/>
        <v>#N/A</v>
      </c>
      <c r="BS29" s="162" t="e">
        <f t="shared" si="37"/>
        <v>#N/A</v>
      </c>
      <c r="BT29" s="113" t="e">
        <f t="shared" si="6"/>
        <v>#N/A</v>
      </c>
      <c r="BU29" s="144">
        <f>SUMIFS(購入実績入力シート[購入数量],購入実績入力シート[対象月],'管理シート（本体）'!BT$8,購入実績入力シート[氏名],管理シート[[#This Row],[氏名]],購入実績入力シート[燃料別],管理シート[[#This Row],[燃料別]])</f>
        <v>0</v>
      </c>
      <c r="BV29" s="114" t="e">
        <f t="shared" si="7"/>
        <v>#N/A</v>
      </c>
      <c r="BW29" s="162" t="e">
        <f t="shared" si="38"/>
        <v>#N/A</v>
      </c>
      <c r="BX29" s="162" t="e">
        <f t="shared" si="8"/>
        <v>#N/A</v>
      </c>
      <c r="BY29" s="162" t="e">
        <f t="shared" si="9"/>
        <v>#N/A</v>
      </c>
      <c r="BZ29" s="113" t="e">
        <f t="shared" si="10"/>
        <v>#N/A</v>
      </c>
      <c r="CA29" s="144">
        <f>SUMIFS(購入実績入力シート[購入数量],購入実績入力シート[対象月],'管理シート（本体）'!BZ$8,購入実績入力シート[氏名],管理シート[[#This Row],[氏名]],購入実績入力シート[燃料別],管理シート[[#This Row],[燃料別]])</f>
        <v>0</v>
      </c>
      <c r="CB29" s="114" t="e">
        <f t="shared" si="11"/>
        <v>#N/A</v>
      </c>
      <c r="CC29" s="162" t="e">
        <f t="shared" si="39"/>
        <v>#N/A</v>
      </c>
      <c r="CD29" s="162" t="e">
        <f t="shared" si="40"/>
        <v>#N/A</v>
      </c>
      <c r="CE29" s="162" t="e">
        <f t="shared" si="41"/>
        <v>#N/A</v>
      </c>
      <c r="CF29" s="113" t="e">
        <f t="shared" si="12"/>
        <v>#N/A</v>
      </c>
      <c r="CG29" s="144">
        <f>SUMIFS(購入実績入力シート[購入数量],購入実績入力シート[対象月],'管理シート（本体）'!CF$8,購入実績入力シート[氏名],管理シート[[#This Row],[氏名]],購入実績入力シート[燃料別],管理シート[[#This Row],[燃料別]])</f>
        <v>0</v>
      </c>
      <c r="CH29" s="114" t="e">
        <f t="shared" si="13"/>
        <v>#N/A</v>
      </c>
      <c r="CI29" s="162" t="e">
        <f t="shared" si="42"/>
        <v>#N/A</v>
      </c>
      <c r="CJ29" s="162" t="e">
        <f t="shared" si="43"/>
        <v>#N/A</v>
      </c>
      <c r="CK29" s="162" t="e">
        <f t="shared" si="44"/>
        <v>#N/A</v>
      </c>
      <c r="CL29" s="113" t="e">
        <f t="shared" si="14"/>
        <v>#N/A</v>
      </c>
      <c r="CM29" s="144">
        <f>SUMIFS(購入実績入力シート[購入数量],購入実績入力シート[対象月],'管理シート（本体）'!CL$8,購入実績入力シート[氏名],管理シート[[#This Row],[氏名]],購入実績入力シート[燃料別],管理シート[[#This Row],[燃料別]])</f>
        <v>0</v>
      </c>
      <c r="CN29" s="114" t="e">
        <f t="shared" si="15"/>
        <v>#N/A</v>
      </c>
      <c r="CO29" s="162" t="e">
        <f t="shared" si="45"/>
        <v>#N/A</v>
      </c>
      <c r="CP29" s="162" t="e">
        <f t="shared" si="46"/>
        <v>#N/A</v>
      </c>
      <c r="CQ29" s="162" t="e">
        <f t="shared" si="47"/>
        <v>#N/A</v>
      </c>
      <c r="CR29" s="113" t="e">
        <f t="shared" si="16"/>
        <v>#N/A</v>
      </c>
      <c r="CS29" s="144">
        <f>SUMIFS(購入実績入力シート[購入数量],購入実績入力シート[対象月],'管理シート（本体）'!CR$8,購入実績入力シート[氏名],管理シート[[#This Row],[氏名]],購入実績入力シート[燃料別],管理シート[[#This Row],[燃料別]])</f>
        <v>0</v>
      </c>
      <c r="CT29" s="114" t="e">
        <f t="shared" si="17"/>
        <v>#N/A</v>
      </c>
      <c r="CU29" s="162" t="e">
        <f t="shared" si="48"/>
        <v>#N/A</v>
      </c>
      <c r="CV29" s="162" t="e">
        <f t="shared" si="18"/>
        <v>#N/A</v>
      </c>
      <c r="CW29" s="162" t="e">
        <f t="shared" si="19"/>
        <v>#N/A</v>
      </c>
      <c r="CX29" s="113" t="e">
        <f t="shared" si="20"/>
        <v>#N/A</v>
      </c>
      <c r="CY29" s="144">
        <f>SUMIFS(購入実績入力シート[購入数量],購入実績入力シート[対象月],'管理シート（本体）'!CX$8,購入実績入力シート[氏名],管理シート[[#This Row],[氏名]],購入実績入力シート[燃料別],管理シート[[#This Row],[燃料別]])</f>
        <v>0</v>
      </c>
      <c r="CZ29" s="114" t="e">
        <f t="shared" si="21"/>
        <v>#N/A</v>
      </c>
      <c r="DA29" s="162" t="e">
        <f t="shared" si="49"/>
        <v>#N/A</v>
      </c>
      <c r="DB29" s="162" t="e">
        <f t="shared" si="50"/>
        <v>#N/A</v>
      </c>
      <c r="DC29" s="162" t="e">
        <f t="shared" si="22"/>
        <v>#N/A</v>
      </c>
      <c r="DD29" s="108" t="e">
        <f t="shared" si="23"/>
        <v>#N/A</v>
      </c>
      <c r="DE29" s="108" t="e">
        <f t="shared" si="24"/>
        <v>#N/A</v>
      </c>
      <c r="DF29" s="94"/>
      <c r="DG29" s="174">
        <f t="shared" si="25"/>
        <v>0</v>
      </c>
    </row>
    <row r="30" spans="1:111" ht="19.95" customHeight="1">
      <c r="A30" s="176" t="str">
        <f t="shared" si="51"/>
        <v>山梨県水田畑作農業再生協議会</v>
      </c>
      <c r="B30" s="176">
        <f t="shared" si="26"/>
        <v>0</v>
      </c>
      <c r="C30" s="176" t="str">
        <f t="shared" si="26"/>
        <v>団体A</v>
      </c>
      <c r="D30" s="176" t="str">
        <f t="shared" si="26"/>
        <v>会長　○○　○○</v>
      </c>
      <c r="E30" s="176" t="str">
        <f t="shared" si="26"/>
        <v>000-0000</v>
      </c>
      <c r="F30" s="176" t="str">
        <f t="shared" si="26"/>
        <v>甲府市○○</v>
      </c>
      <c r="G30" s="176" t="str">
        <f t="shared" si="26"/>
        <v>R6～R8</v>
      </c>
      <c r="H30" s="176" t="str">
        <f t="shared" si="26"/>
        <v>10月～翌６月</v>
      </c>
      <c r="I30" s="90">
        <v>17</v>
      </c>
      <c r="J30" s="186"/>
      <c r="K30" s="91" t="s">
        <v>331</v>
      </c>
      <c r="L30" s="102"/>
      <c r="M30" s="268"/>
      <c r="N30" s="93"/>
      <c r="O30" s="90"/>
      <c r="P30" s="94"/>
      <c r="Q30" s="94"/>
      <c r="R30" s="6"/>
      <c r="S30" s="107">
        <f t="shared" ref="S30:S53" si="86">Q30-R30</f>
        <v>0</v>
      </c>
      <c r="T30" s="94"/>
      <c r="U30" s="11"/>
      <c r="V30" s="108">
        <f t="shared" ref="V30:V53" si="87">Q30-T30-R30</f>
        <v>0</v>
      </c>
      <c r="W30" s="12"/>
      <c r="X30" s="109">
        <f t="shared" ref="X30:X53" si="88">R30+T30+V30</f>
        <v>0</v>
      </c>
      <c r="Y30" s="110">
        <f t="shared" ref="Y30:Y53" si="89">Q30</f>
        <v>0</v>
      </c>
      <c r="Z30" s="95"/>
      <c r="AA30" s="95"/>
      <c r="AB30" s="95"/>
      <c r="AC30" s="95"/>
      <c r="AD30" s="95"/>
      <c r="AE30" s="95"/>
      <c r="AF30" s="94"/>
      <c r="AG30" s="111">
        <f t="shared" si="29"/>
        <v>0</v>
      </c>
      <c r="AH30" s="96"/>
      <c r="AI30" s="111">
        <f t="shared" si="0"/>
        <v>0</v>
      </c>
      <c r="AJ30" s="94"/>
      <c r="AK30" s="94"/>
      <c r="AL30" s="94"/>
      <c r="AM30" s="94"/>
      <c r="AN30" s="94"/>
      <c r="AO30" s="94"/>
      <c r="AP30" s="94"/>
      <c r="AQ30" s="97"/>
      <c r="AR30" s="94"/>
      <c r="AS30" s="94"/>
      <c r="AT30" s="94"/>
      <c r="AU30" s="94"/>
      <c r="AV30" s="97"/>
      <c r="AW30" s="97"/>
      <c r="AX30" s="94"/>
      <c r="AY30" s="94"/>
      <c r="AZ30" s="97"/>
      <c r="BA30" s="96"/>
      <c r="BB30" s="113" t="e">
        <f t="shared" ref="BB30:BB53" si="90">VLOOKUP($O30,$BE$4:$BF$7,2,0)</f>
        <v>#N/A</v>
      </c>
      <c r="BC30" s="142">
        <f>SUMIFS(購入実績入力シート[購入数量],購入実績入力シート[対象月],'管理シート（本体）'!BB$8,購入実績入力シート[氏名],管理シート[[#This Row],[氏名]],購入実績入力シート[燃料別],管理シート[[#This Row],[燃料別]])</f>
        <v>0</v>
      </c>
      <c r="BD30" s="114" t="e">
        <f t="shared" ref="BD30:BD53" si="91">VLOOKUP($O30,BE$4:BG$7,3,0)*BC30</f>
        <v>#N/A</v>
      </c>
      <c r="BE30" s="162" t="e">
        <f t="shared" ref="BE30:BE53" si="92">SUM(BF30:BG30)</f>
        <v>#N/A</v>
      </c>
      <c r="BF30" s="162" t="e">
        <f t="shared" ref="BF30:BF53" si="93">ROUNDDOWN(BB30*BD30*1/2,0)</f>
        <v>#N/A</v>
      </c>
      <c r="BG30" s="162" t="e">
        <f t="shared" ref="BG30:BG53" si="94">ROUNDDOWN(BB30*BD30*1/2,0)</f>
        <v>#N/A</v>
      </c>
      <c r="BH30" s="142" t="e">
        <f t="shared" ref="BH30:BH53" si="95">VLOOKUP($O30,$BK$4:$BL$7,2,0)</f>
        <v>#N/A</v>
      </c>
      <c r="BI30" s="144">
        <f>SUMIFS(購入実績入力シート[購入数量],購入実績入力シート[対象月],'管理シート（本体）'!BH$8,購入実績入力シート[氏名],管理シート[[#This Row],[氏名]],購入実績入力シート[燃料別],管理シート[[#This Row],[燃料別]])</f>
        <v>0</v>
      </c>
      <c r="BJ30" s="114" t="e">
        <f t="shared" ref="BJ30:BJ53" si="96">VLOOKUP($O30,BK$4:BM$7,3,0)*BI30</f>
        <v>#N/A</v>
      </c>
      <c r="BK30" s="162" t="e">
        <f t="shared" si="57"/>
        <v>#N/A</v>
      </c>
      <c r="BL30" s="162" t="e">
        <f t="shared" ref="BL30:BL53" si="97">ROUNDDOWN(BH30*BJ30*1/2,0)</f>
        <v>#N/A</v>
      </c>
      <c r="BM30" s="162" t="e">
        <f t="shared" ref="BM30:BM53" si="98">ROUNDDOWN(BH30*BJ30*1/2,0)</f>
        <v>#N/A</v>
      </c>
      <c r="BN30" s="142" t="e">
        <f t="shared" ref="BN30:BN53" si="99">VLOOKUP($O30,$BQ$4:$BR$7,2,0)</f>
        <v>#N/A</v>
      </c>
      <c r="BO30" s="144">
        <f>SUMIFS(購入実績入力シート[購入数量],購入実績入力シート[対象月],'管理シート（本体）'!BN$8,購入実績入力シート[氏名],管理シート[[#This Row],[氏名]],購入実績入力シート[燃料別],管理シート[[#This Row],[燃料別]])</f>
        <v>0</v>
      </c>
      <c r="BP30" s="114" t="e">
        <f t="shared" ref="BP30:BP53" si="100">VLOOKUP($O30,BQ$4:BS$7,3,0)*BO30</f>
        <v>#N/A</v>
      </c>
      <c r="BQ30" s="162" t="e">
        <f t="shared" ref="BQ30:BQ53" si="101">SUM(BR30:BS30)</f>
        <v>#N/A</v>
      </c>
      <c r="BR30" s="162" t="e">
        <f t="shared" ref="BR30:BR53" si="102">ROUNDDOWN(BN30*BP30*1/2,0)</f>
        <v>#N/A</v>
      </c>
      <c r="BS30" s="162" t="e">
        <f t="shared" ref="BS30:BS53" si="103">ROUNDDOWN(BN30*BP30*1/2,0)</f>
        <v>#N/A</v>
      </c>
      <c r="BT30" s="142" t="e">
        <f t="shared" ref="BT30:BT53" si="104">VLOOKUP($O30,$BW$4:$BX$7,2,0)</f>
        <v>#N/A</v>
      </c>
      <c r="BU30" s="144">
        <f>SUMIFS(購入実績入力シート[購入数量],購入実績入力シート[対象月],'管理シート（本体）'!BT$8,購入実績入力シート[氏名],管理シート[[#This Row],[氏名]],購入実績入力シート[燃料別],管理シート[[#This Row],[燃料別]])</f>
        <v>0</v>
      </c>
      <c r="BV30" s="114" t="e">
        <f t="shared" ref="BV30:BV53" si="105">VLOOKUP($O30,BW$4:BY$7,3,0)*BU30</f>
        <v>#N/A</v>
      </c>
      <c r="BW30" s="162" t="e">
        <f t="shared" ref="BW30:BW53" si="106">SUM(BX30:BY30)</f>
        <v>#N/A</v>
      </c>
      <c r="BX30" s="162" t="e">
        <f t="shared" ref="BX30:BX53" si="107">ROUNDDOWN(BT30*BV30*1/2,0)</f>
        <v>#N/A</v>
      </c>
      <c r="BY30" s="162" t="e">
        <f t="shared" ref="BY30:BY53" si="108">ROUNDDOWN(BT30*BV30*1/2,0)</f>
        <v>#N/A</v>
      </c>
      <c r="BZ30" s="142" t="e">
        <f t="shared" ref="BZ30:BZ53" si="109">VLOOKUP($O30,$CC$4:$CD$7,2,0)</f>
        <v>#N/A</v>
      </c>
      <c r="CA30" s="144">
        <f>SUMIFS(購入実績入力シート[購入数量],購入実績入力シート[対象月],'管理シート（本体）'!BZ$8,購入実績入力シート[氏名],管理シート[[#This Row],[氏名]],購入実績入力シート[燃料別],管理シート[[#This Row],[燃料別]])</f>
        <v>0</v>
      </c>
      <c r="CB30" s="114" t="e">
        <f t="shared" ref="CB30:CB53" si="110">VLOOKUP($O30,CC$4:CE$7,3,0)*CA30</f>
        <v>#N/A</v>
      </c>
      <c r="CC30" s="162" t="e">
        <f t="shared" si="39"/>
        <v>#N/A</v>
      </c>
      <c r="CD30" s="162" t="e">
        <f t="shared" ref="CD30:CD53" si="111">ROUNDDOWN(BZ30*CB30*1/2,0)</f>
        <v>#N/A</v>
      </c>
      <c r="CE30" s="162" t="e">
        <f t="shared" ref="CE30:CE53" si="112">ROUNDDOWN(BZ30*CB30*1/2,0)</f>
        <v>#N/A</v>
      </c>
      <c r="CF30" s="142" t="e">
        <f t="shared" ref="CF30:CF53" si="113">VLOOKUP($O30,$CI$4:$CJ$7,2,0)</f>
        <v>#N/A</v>
      </c>
      <c r="CG30" s="144">
        <f>SUMIFS(購入実績入力シート[購入数量],購入実績入力シート[対象月],'管理シート（本体）'!CF$8,購入実績入力シート[氏名],管理シート[[#This Row],[氏名]],購入実績入力シート[燃料別],管理シート[[#This Row],[燃料別]])</f>
        <v>0</v>
      </c>
      <c r="CH30" s="114" t="e">
        <f t="shared" ref="CH30:CH53" si="114">VLOOKUP($O30,CI$4:CK$7,3,0)*CG30</f>
        <v>#N/A</v>
      </c>
      <c r="CI30" s="162" t="e">
        <f t="shared" ref="CI30:CI53" si="115">SUM(CJ30:CK30)</f>
        <v>#N/A</v>
      </c>
      <c r="CJ30" s="162" t="e">
        <f t="shared" ref="CJ30:CJ53" si="116">ROUNDDOWN(CF30*CH30*1/2,0)</f>
        <v>#N/A</v>
      </c>
      <c r="CK30" s="162" t="e">
        <f t="shared" ref="CK30:CK53" si="117">ROUNDDOWN(CF30*CH30*1/2,0)</f>
        <v>#N/A</v>
      </c>
      <c r="CL30" s="142" t="e">
        <f t="shared" ref="CL30:CL53" si="118">VLOOKUP($O30,$CO$4:$CP$7,2,0)</f>
        <v>#N/A</v>
      </c>
      <c r="CM30" s="144">
        <f>SUMIFS(購入実績入力シート[購入数量],購入実績入力シート[対象月],'管理シート（本体）'!CL$8,購入実績入力シート[氏名],管理シート[[#This Row],[氏名]],購入実績入力シート[燃料別],管理シート[[#This Row],[燃料別]])</f>
        <v>0</v>
      </c>
      <c r="CN30" s="114" t="e">
        <f t="shared" ref="CN30:CN53" si="119">VLOOKUP($O30,CO$4:CQ$7,3,0)*CM30</f>
        <v>#N/A</v>
      </c>
      <c r="CO30" s="162" t="e">
        <f t="shared" ref="CO30:CO53" si="120">SUM(CP30:CQ30)</f>
        <v>#N/A</v>
      </c>
      <c r="CP30" s="162" t="e">
        <f t="shared" ref="CP30:CP53" si="121">ROUNDDOWN(CL30*CN30*1/2,0)</f>
        <v>#N/A</v>
      </c>
      <c r="CQ30" s="162" t="e">
        <f t="shared" ref="CQ30:CQ53" si="122">ROUNDDOWN(CL30*CN30*1/2,0)</f>
        <v>#N/A</v>
      </c>
      <c r="CR30" s="142" t="e">
        <f t="shared" ref="CR30:CR53" si="123">VLOOKUP($O30,$CU$4:$CV$7,2,0)</f>
        <v>#N/A</v>
      </c>
      <c r="CS30" s="144">
        <f>SUMIFS(購入実績入力シート[購入数量],購入実績入力シート[対象月],'管理シート（本体）'!CR$8,購入実績入力シート[氏名],管理シート[[#This Row],[氏名]],購入実績入力シート[燃料別],管理シート[[#This Row],[燃料別]])</f>
        <v>0</v>
      </c>
      <c r="CT30" s="114" t="e">
        <f t="shared" ref="CT30:CT53" si="124">VLOOKUP($O30,CU$4:CW$7,3,0)*CS30</f>
        <v>#N/A</v>
      </c>
      <c r="CU30" s="162" t="e">
        <f t="shared" ref="CU30:CU53" si="125">SUM(CV30:CW30)</f>
        <v>#N/A</v>
      </c>
      <c r="CV30" s="162" t="e">
        <f t="shared" ref="CV30:CV53" si="126">ROUNDDOWN(CR30*CT30*1/2,0)</f>
        <v>#N/A</v>
      </c>
      <c r="CW30" s="162" t="e">
        <f t="shared" ref="CW30:CW53" si="127">ROUNDDOWN(CR30*CT30*1/2,0)</f>
        <v>#N/A</v>
      </c>
      <c r="CX30" s="142" t="e">
        <f t="shared" ref="CX30:CX53" si="128">VLOOKUP($O30,$DA$4:$DB$7,2,0)</f>
        <v>#N/A</v>
      </c>
      <c r="CY30" s="144">
        <f>SUMIFS(購入実績入力シート[購入数量],購入実績入力シート[対象月],'管理シート（本体）'!CX$8,購入実績入力シート[氏名],管理シート[[#This Row],[氏名]],購入実績入力シート[燃料別],管理シート[[#This Row],[燃料別]])</f>
        <v>0</v>
      </c>
      <c r="CZ30" s="114" t="e">
        <f t="shared" ref="CZ30:CZ53" si="129">VLOOKUP($O30,DA$4:DC$7,3,0)*CY30</f>
        <v>#N/A</v>
      </c>
      <c r="DA30" s="162" t="e">
        <f t="shared" si="49"/>
        <v>#N/A</v>
      </c>
      <c r="DB30" s="162" t="e">
        <f t="shared" ref="DB30:DB53" si="130">ROUNDDOWN(CX30*CZ30*1/2,0)</f>
        <v>#N/A</v>
      </c>
      <c r="DC30" s="162" t="e">
        <f t="shared" ref="DC30:DC53" si="131">ROUNDDOWN(CX30*CZ30*1/2,0)</f>
        <v>#N/A</v>
      </c>
      <c r="DD30" s="108" t="e">
        <f t="shared" ref="DD30:DD53" si="132">BF30+BL30+BR30+BX30+CD30+CJ30+CP30+CV30+DB30</f>
        <v>#N/A</v>
      </c>
      <c r="DE30" s="108" t="e">
        <f t="shared" si="24"/>
        <v>#N/A</v>
      </c>
      <c r="DF30" s="190"/>
      <c r="DG30" s="174">
        <f t="shared" ref="DG30:DG53" si="133">SUM(BA30,BC30,BI30,BO30,BU30,CA30,CG30,CM30,CS30,CY30)</f>
        <v>0</v>
      </c>
    </row>
    <row r="31" spans="1:111" ht="19.95" customHeight="1">
      <c r="A31" s="176"/>
      <c r="B31" s="176"/>
      <c r="C31" s="176"/>
      <c r="D31" s="176"/>
      <c r="E31" s="176"/>
      <c r="F31" s="176"/>
      <c r="G31" s="176"/>
      <c r="H31" s="176"/>
      <c r="I31" s="255">
        <v>18</v>
      </c>
      <c r="J31" s="186"/>
      <c r="K31" s="91" t="s">
        <v>332</v>
      </c>
      <c r="L31" s="102"/>
      <c r="M31" s="268"/>
      <c r="N31" s="93"/>
      <c r="O31" s="90"/>
      <c r="P31" s="94"/>
      <c r="Q31" s="94"/>
      <c r="R31" s="6"/>
      <c r="S31" s="107">
        <f t="shared" si="86"/>
        <v>0</v>
      </c>
      <c r="T31" s="94"/>
      <c r="U31" s="11"/>
      <c r="V31" s="108">
        <f t="shared" si="87"/>
        <v>0</v>
      </c>
      <c r="W31" s="12"/>
      <c r="X31" s="109">
        <f t="shared" si="88"/>
        <v>0</v>
      </c>
      <c r="Y31" s="110">
        <f t="shared" si="89"/>
        <v>0</v>
      </c>
      <c r="Z31" s="95"/>
      <c r="AA31" s="95"/>
      <c r="AB31" s="95"/>
      <c r="AC31" s="95"/>
      <c r="AD31" s="95"/>
      <c r="AE31" s="95"/>
      <c r="AF31" s="94"/>
      <c r="AG31" s="111">
        <f t="shared" ref="AG31:AG53" si="134">ROUND(IF($O31="Ａ重油",AF31*1,IF($O31="灯油",AF31*0.939,IF($O31="ＬＰガス",AF31*1.299,IF($O31="ＬＮＧ",AF31*1.56)))),0)</f>
        <v>0</v>
      </c>
      <c r="AH31" s="96"/>
      <c r="AI31" s="111">
        <f t="shared" ref="AI31:AI53" si="135">ROUND(IF($O31="Ａ重油",AH31*1,IF($O31="灯油",AH31*0.939,IF($O31="ＬＰガス",AH31*1.299,IF($O31="ＬＮＧ",AH31*1.56)))),0)</f>
        <v>0</v>
      </c>
      <c r="AJ31" s="94"/>
      <c r="AK31" s="94"/>
      <c r="AL31" s="94"/>
      <c r="AM31" s="94"/>
      <c r="AN31" s="94"/>
      <c r="AO31" s="94"/>
      <c r="AP31" s="94"/>
      <c r="AQ31" s="97"/>
      <c r="AR31" s="94"/>
      <c r="AS31" s="94"/>
      <c r="AT31" s="94"/>
      <c r="AU31" s="94"/>
      <c r="AV31" s="97"/>
      <c r="AW31" s="97"/>
      <c r="AX31" s="94"/>
      <c r="AY31" s="94"/>
      <c r="AZ31" s="97"/>
      <c r="BA31" s="96"/>
      <c r="BB31" s="113" t="e">
        <f t="shared" si="90"/>
        <v>#N/A</v>
      </c>
      <c r="BC31" s="142">
        <f>SUMIFS(購入実績入力シート[購入数量],購入実績入力シート[対象月],'管理シート（本体）'!BB$8,購入実績入力シート[氏名],管理シート[[#This Row],[氏名]],購入実績入力シート[燃料別],管理シート[[#This Row],[燃料別]])</f>
        <v>0</v>
      </c>
      <c r="BD31" s="280" t="e">
        <f t="shared" si="91"/>
        <v>#N/A</v>
      </c>
      <c r="BE31" s="162" t="e">
        <f t="shared" si="92"/>
        <v>#N/A</v>
      </c>
      <c r="BF31" s="162" t="e">
        <f t="shared" si="93"/>
        <v>#N/A</v>
      </c>
      <c r="BG31" s="162" t="e">
        <f t="shared" si="94"/>
        <v>#N/A</v>
      </c>
      <c r="BH31" s="142" t="e">
        <f t="shared" si="95"/>
        <v>#N/A</v>
      </c>
      <c r="BI31" s="144">
        <f>SUMIFS(購入実績入力シート[購入数量],購入実績入力シート[対象月],'管理シート（本体）'!BH$8,購入実績入力シート[氏名],管理シート[[#This Row],[氏名]],購入実績入力シート[燃料別],管理シート[[#This Row],[燃料別]])</f>
        <v>0</v>
      </c>
      <c r="BJ31" s="280" t="e">
        <f t="shared" si="96"/>
        <v>#N/A</v>
      </c>
      <c r="BK31" s="162" t="e">
        <f t="shared" si="57"/>
        <v>#N/A</v>
      </c>
      <c r="BL31" s="162" t="e">
        <f t="shared" si="97"/>
        <v>#N/A</v>
      </c>
      <c r="BM31" s="162" t="e">
        <f t="shared" si="98"/>
        <v>#N/A</v>
      </c>
      <c r="BN31" s="142" t="e">
        <f t="shared" si="99"/>
        <v>#N/A</v>
      </c>
      <c r="BO31" s="144">
        <f>SUMIFS(購入実績入力シート[購入数量],購入実績入力シート[対象月],'管理シート（本体）'!BN$8,購入実績入力シート[氏名],管理シート[[#This Row],[氏名]],購入実績入力シート[燃料別],管理シート[[#This Row],[燃料別]])</f>
        <v>0</v>
      </c>
      <c r="BP31" s="280" t="e">
        <f t="shared" si="100"/>
        <v>#N/A</v>
      </c>
      <c r="BQ31" s="162" t="e">
        <f t="shared" si="101"/>
        <v>#N/A</v>
      </c>
      <c r="BR31" s="162" t="e">
        <f t="shared" si="102"/>
        <v>#N/A</v>
      </c>
      <c r="BS31" s="162" t="e">
        <f t="shared" si="103"/>
        <v>#N/A</v>
      </c>
      <c r="BT31" s="142" t="e">
        <f t="shared" si="104"/>
        <v>#N/A</v>
      </c>
      <c r="BU31" s="144">
        <f>SUMIFS(購入実績入力シート[購入数量],購入実績入力シート[対象月],'管理シート（本体）'!BT$8,購入実績入力シート[氏名],管理シート[[#This Row],[氏名]],購入実績入力シート[燃料別],管理シート[[#This Row],[燃料別]])</f>
        <v>0</v>
      </c>
      <c r="BV31" s="114" t="e">
        <f t="shared" si="105"/>
        <v>#N/A</v>
      </c>
      <c r="BW31" s="162" t="e">
        <f t="shared" si="106"/>
        <v>#N/A</v>
      </c>
      <c r="BX31" s="162" t="e">
        <f t="shared" si="107"/>
        <v>#N/A</v>
      </c>
      <c r="BY31" s="162" t="e">
        <f t="shared" si="108"/>
        <v>#N/A</v>
      </c>
      <c r="BZ31" s="142" t="e">
        <f t="shared" si="109"/>
        <v>#N/A</v>
      </c>
      <c r="CA31" s="144">
        <f>SUMIFS(購入実績入力シート[購入数量],購入実績入力シート[対象月],'管理シート（本体）'!BZ$8,購入実績入力シート[氏名],管理シート[[#This Row],[氏名]],購入実績入力シート[燃料別],管理シート[[#This Row],[燃料別]])</f>
        <v>0</v>
      </c>
      <c r="CB31" s="114" t="e">
        <f t="shared" si="110"/>
        <v>#N/A</v>
      </c>
      <c r="CC31" s="162" t="e">
        <f t="shared" si="39"/>
        <v>#N/A</v>
      </c>
      <c r="CD31" s="162" t="e">
        <f t="shared" si="111"/>
        <v>#N/A</v>
      </c>
      <c r="CE31" s="162" t="e">
        <f t="shared" si="112"/>
        <v>#N/A</v>
      </c>
      <c r="CF31" s="142" t="e">
        <f t="shared" si="113"/>
        <v>#N/A</v>
      </c>
      <c r="CG31" s="144">
        <f>SUMIFS(購入実績入力シート[購入数量],購入実績入力シート[対象月],'管理シート（本体）'!CF$8,購入実績入力シート[氏名],管理シート[[#This Row],[氏名]],購入実績入力シート[燃料別],管理シート[[#This Row],[燃料別]])</f>
        <v>0</v>
      </c>
      <c r="CH31" s="114" t="e">
        <f t="shared" si="114"/>
        <v>#N/A</v>
      </c>
      <c r="CI31" s="162" t="e">
        <f t="shared" si="115"/>
        <v>#N/A</v>
      </c>
      <c r="CJ31" s="162" t="e">
        <f t="shared" si="116"/>
        <v>#N/A</v>
      </c>
      <c r="CK31" s="162" t="e">
        <f t="shared" si="117"/>
        <v>#N/A</v>
      </c>
      <c r="CL31" s="142" t="e">
        <f t="shared" si="118"/>
        <v>#N/A</v>
      </c>
      <c r="CM31" s="144">
        <f>SUMIFS(購入実績入力シート[購入数量],購入実績入力シート[対象月],'管理シート（本体）'!CL$8,購入実績入力シート[氏名],管理シート[[#This Row],[氏名]],購入実績入力シート[燃料別],管理シート[[#This Row],[燃料別]])</f>
        <v>0</v>
      </c>
      <c r="CN31" s="114" t="e">
        <f t="shared" si="119"/>
        <v>#N/A</v>
      </c>
      <c r="CO31" s="162" t="e">
        <f t="shared" si="120"/>
        <v>#N/A</v>
      </c>
      <c r="CP31" s="162" t="e">
        <f t="shared" si="121"/>
        <v>#N/A</v>
      </c>
      <c r="CQ31" s="162" t="e">
        <f t="shared" si="122"/>
        <v>#N/A</v>
      </c>
      <c r="CR31" s="142" t="e">
        <f t="shared" si="123"/>
        <v>#N/A</v>
      </c>
      <c r="CS31" s="144">
        <f>SUMIFS(購入実績入力シート[購入数量],購入実績入力シート[対象月],'管理シート（本体）'!CR$8,購入実績入力シート[氏名],管理シート[[#This Row],[氏名]],購入実績入力シート[燃料別],管理シート[[#This Row],[燃料別]])</f>
        <v>0</v>
      </c>
      <c r="CT31" s="114" t="e">
        <f t="shared" si="124"/>
        <v>#N/A</v>
      </c>
      <c r="CU31" s="162" t="e">
        <f t="shared" si="125"/>
        <v>#N/A</v>
      </c>
      <c r="CV31" s="162" t="e">
        <f t="shared" si="126"/>
        <v>#N/A</v>
      </c>
      <c r="CW31" s="162" t="e">
        <f t="shared" si="127"/>
        <v>#N/A</v>
      </c>
      <c r="CX31" s="142" t="e">
        <f t="shared" si="128"/>
        <v>#N/A</v>
      </c>
      <c r="CY31" s="144">
        <f>SUMIFS(購入実績入力シート[購入数量],購入実績入力シート[対象月],'管理シート（本体）'!CX$8,購入実績入力シート[氏名],管理シート[[#This Row],[氏名]],購入実績入力シート[燃料別],管理シート[[#This Row],[燃料別]])</f>
        <v>0</v>
      </c>
      <c r="CZ31" s="114" t="e">
        <f t="shared" si="129"/>
        <v>#N/A</v>
      </c>
      <c r="DA31" s="162" t="e">
        <f t="shared" si="49"/>
        <v>#N/A</v>
      </c>
      <c r="DB31" s="162" t="e">
        <f t="shared" si="130"/>
        <v>#N/A</v>
      </c>
      <c r="DC31" s="162" t="e">
        <f t="shared" si="131"/>
        <v>#N/A</v>
      </c>
      <c r="DD31" s="108" t="e">
        <f t="shared" si="132"/>
        <v>#N/A</v>
      </c>
      <c r="DE31" s="108" t="e">
        <f t="shared" ref="DE31:DE53" si="136">Q31-DD31</f>
        <v>#N/A</v>
      </c>
      <c r="DF31" s="190"/>
      <c r="DG31" s="174">
        <f t="shared" si="133"/>
        <v>0</v>
      </c>
    </row>
    <row r="32" spans="1:111" ht="19.95" customHeight="1">
      <c r="A32" s="176"/>
      <c r="B32" s="176"/>
      <c r="C32" s="176"/>
      <c r="D32" s="176"/>
      <c r="E32" s="176"/>
      <c r="F32" s="176"/>
      <c r="G32" s="176"/>
      <c r="H32" s="176"/>
      <c r="I32" s="90">
        <v>19</v>
      </c>
      <c r="J32" s="186"/>
      <c r="K32" s="91" t="s">
        <v>333</v>
      </c>
      <c r="L32" s="102"/>
      <c r="M32" s="268"/>
      <c r="N32" s="93"/>
      <c r="O32" s="90"/>
      <c r="P32" s="94"/>
      <c r="Q32" s="94"/>
      <c r="R32" s="6"/>
      <c r="S32" s="107">
        <f t="shared" si="86"/>
        <v>0</v>
      </c>
      <c r="T32" s="94"/>
      <c r="U32" s="11"/>
      <c r="V32" s="108">
        <f t="shared" si="87"/>
        <v>0</v>
      </c>
      <c r="W32" s="12"/>
      <c r="X32" s="109">
        <f t="shared" si="88"/>
        <v>0</v>
      </c>
      <c r="Y32" s="110">
        <f t="shared" si="89"/>
        <v>0</v>
      </c>
      <c r="Z32" s="95"/>
      <c r="AA32" s="95"/>
      <c r="AB32" s="95"/>
      <c r="AC32" s="95"/>
      <c r="AD32" s="95"/>
      <c r="AE32" s="95"/>
      <c r="AF32" s="94"/>
      <c r="AG32" s="111">
        <f t="shared" si="134"/>
        <v>0</v>
      </c>
      <c r="AH32" s="96"/>
      <c r="AI32" s="111">
        <f t="shared" si="135"/>
        <v>0</v>
      </c>
      <c r="AJ32" s="94"/>
      <c r="AK32" s="94"/>
      <c r="AL32" s="94"/>
      <c r="AM32" s="94"/>
      <c r="AN32" s="94"/>
      <c r="AO32" s="94"/>
      <c r="AP32" s="94"/>
      <c r="AQ32" s="97"/>
      <c r="AR32" s="94"/>
      <c r="AS32" s="94"/>
      <c r="AT32" s="94"/>
      <c r="AU32" s="94"/>
      <c r="AV32" s="97"/>
      <c r="AW32" s="97"/>
      <c r="AX32" s="94"/>
      <c r="AY32" s="94"/>
      <c r="AZ32" s="97"/>
      <c r="BA32" s="96"/>
      <c r="BB32" s="113" t="e">
        <f t="shared" si="90"/>
        <v>#N/A</v>
      </c>
      <c r="BC32" s="142">
        <f>SUMIFS(購入実績入力シート[購入数量],購入実績入力シート[対象月],'管理シート（本体）'!BB$8,購入実績入力シート[氏名],管理シート[[#This Row],[氏名]],購入実績入力シート[燃料別],管理シート[[#This Row],[燃料別]])</f>
        <v>0</v>
      </c>
      <c r="BD32" s="280" t="e">
        <f t="shared" si="91"/>
        <v>#N/A</v>
      </c>
      <c r="BE32" s="162" t="e">
        <f t="shared" si="92"/>
        <v>#N/A</v>
      </c>
      <c r="BF32" s="162" t="e">
        <f t="shared" si="93"/>
        <v>#N/A</v>
      </c>
      <c r="BG32" s="162" t="e">
        <f t="shared" si="94"/>
        <v>#N/A</v>
      </c>
      <c r="BH32" s="142" t="e">
        <f t="shared" si="95"/>
        <v>#N/A</v>
      </c>
      <c r="BI32" s="144">
        <f>SUMIFS(購入実績入力シート[購入数量],購入実績入力シート[対象月],'管理シート（本体）'!BH$8,購入実績入力シート[氏名],管理シート[[#This Row],[氏名]],購入実績入力シート[燃料別],管理シート[[#This Row],[燃料別]])</f>
        <v>0</v>
      </c>
      <c r="BJ32" s="280" t="e">
        <f t="shared" si="96"/>
        <v>#N/A</v>
      </c>
      <c r="BK32" s="162" t="e">
        <f t="shared" si="57"/>
        <v>#N/A</v>
      </c>
      <c r="BL32" s="162" t="e">
        <f t="shared" si="97"/>
        <v>#N/A</v>
      </c>
      <c r="BM32" s="162" t="e">
        <f t="shared" si="98"/>
        <v>#N/A</v>
      </c>
      <c r="BN32" s="142" t="e">
        <f t="shared" si="99"/>
        <v>#N/A</v>
      </c>
      <c r="BO32" s="144">
        <f>SUMIFS(購入実績入力シート[購入数量],購入実績入力シート[対象月],'管理シート（本体）'!BN$8,購入実績入力シート[氏名],管理シート[[#This Row],[氏名]],購入実績入力シート[燃料別],管理シート[[#This Row],[燃料別]])</f>
        <v>0</v>
      </c>
      <c r="BP32" s="280" t="e">
        <f t="shared" si="100"/>
        <v>#N/A</v>
      </c>
      <c r="BQ32" s="162" t="e">
        <f t="shared" si="101"/>
        <v>#N/A</v>
      </c>
      <c r="BR32" s="162" t="e">
        <f t="shared" si="102"/>
        <v>#N/A</v>
      </c>
      <c r="BS32" s="162" t="e">
        <f t="shared" si="103"/>
        <v>#N/A</v>
      </c>
      <c r="BT32" s="142" t="e">
        <f t="shared" si="104"/>
        <v>#N/A</v>
      </c>
      <c r="BU32" s="144">
        <f>SUMIFS(購入実績入力シート[購入数量],購入実績入力シート[対象月],'管理シート（本体）'!BT$8,購入実績入力シート[氏名],管理シート[[#This Row],[氏名]],購入実績入力シート[燃料別],管理シート[[#This Row],[燃料別]])</f>
        <v>0</v>
      </c>
      <c r="BV32" s="114" t="e">
        <f t="shared" si="105"/>
        <v>#N/A</v>
      </c>
      <c r="BW32" s="162" t="e">
        <f t="shared" si="106"/>
        <v>#N/A</v>
      </c>
      <c r="BX32" s="162" t="e">
        <f t="shared" si="107"/>
        <v>#N/A</v>
      </c>
      <c r="BY32" s="162" t="e">
        <f t="shared" si="108"/>
        <v>#N/A</v>
      </c>
      <c r="BZ32" s="142" t="e">
        <f t="shared" si="109"/>
        <v>#N/A</v>
      </c>
      <c r="CA32" s="144">
        <f>SUMIFS(購入実績入力シート[購入数量],購入実績入力シート[対象月],'管理シート（本体）'!BZ$8,購入実績入力シート[氏名],管理シート[[#This Row],[氏名]],購入実績入力シート[燃料別],管理シート[[#This Row],[燃料別]])</f>
        <v>0</v>
      </c>
      <c r="CB32" s="114" t="e">
        <f t="shared" si="110"/>
        <v>#N/A</v>
      </c>
      <c r="CC32" s="162" t="e">
        <f t="shared" si="39"/>
        <v>#N/A</v>
      </c>
      <c r="CD32" s="162" t="e">
        <f t="shared" si="111"/>
        <v>#N/A</v>
      </c>
      <c r="CE32" s="162" t="e">
        <f t="shared" si="112"/>
        <v>#N/A</v>
      </c>
      <c r="CF32" s="142" t="e">
        <f t="shared" si="113"/>
        <v>#N/A</v>
      </c>
      <c r="CG32" s="144">
        <f>SUMIFS(購入実績入力シート[購入数量],購入実績入力シート[対象月],'管理シート（本体）'!CF$8,購入実績入力シート[氏名],管理シート[[#This Row],[氏名]],購入実績入力シート[燃料別],管理シート[[#This Row],[燃料別]])</f>
        <v>0</v>
      </c>
      <c r="CH32" s="114" t="e">
        <f t="shared" si="114"/>
        <v>#N/A</v>
      </c>
      <c r="CI32" s="162" t="e">
        <f t="shared" si="115"/>
        <v>#N/A</v>
      </c>
      <c r="CJ32" s="162" t="e">
        <f t="shared" si="116"/>
        <v>#N/A</v>
      </c>
      <c r="CK32" s="162" t="e">
        <f t="shared" si="117"/>
        <v>#N/A</v>
      </c>
      <c r="CL32" s="142" t="e">
        <f t="shared" si="118"/>
        <v>#N/A</v>
      </c>
      <c r="CM32" s="144">
        <f>SUMIFS(購入実績入力シート[購入数量],購入実績入力シート[対象月],'管理シート（本体）'!CL$8,購入実績入力シート[氏名],管理シート[[#This Row],[氏名]],購入実績入力シート[燃料別],管理シート[[#This Row],[燃料別]])</f>
        <v>0</v>
      </c>
      <c r="CN32" s="114" t="e">
        <f t="shared" si="119"/>
        <v>#N/A</v>
      </c>
      <c r="CO32" s="162" t="e">
        <f t="shared" si="120"/>
        <v>#N/A</v>
      </c>
      <c r="CP32" s="162" t="e">
        <f t="shared" si="121"/>
        <v>#N/A</v>
      </c>
      <c r="CQ32" s="162" t="e">
        <f t="shared" si="122"/>
        <v>#N/A</v>
      </c>
      <c r="CR32" s="142" t="e">
        <f t="shared" si="123"/>
        <v>#N/A</v>
      </c>
      <c r="CS32" s="144">
        <f>SUMIFS(購入実績入力シート[購入数量],購入実績入力シート[対象月],'管理シート（本体）'!CR$8,購入実績入力シート[氏名],管理シート[[#This Row],[氏名]],購入実績入力シート[燃料別],管理シート[[#This Row],[燃料別]])</f>
        <v>0</v>
      </c>
      <c r="CT32" s="114" t="e">
        <f t="shared" si="124"/>
        <v>#N/A</v>
      </c>
      <c r="CU32" s="162" t="e">
        <f t="shared" si="125"/>
        <v>#N/A</v>
      </c>
      <c r="CV32" s="162" t="e">
        <f t="shared" si="126"/>
        <v>#N/A</v>
      </c>
      <c r="CW32" s="162" t="e">
        <f t="shared" si="127"/>
        <v>#N/A</v>
      </c>
      <c r="CX32" s="142" t="e">
        <f t="shared" si="128"/>
        <v>#N/A</v>
      </c>
      <c r="CY32" s="144">
        <f>SUMIFS(購入実績入力シート[購入数量],購入実績入力シート[対象月],'管理シート（本体）'!CX$8,購入実績入力シート[氏名],管理シート[[#This Row],[氏名]],購入実績入力シート[燃料別],管理シート[[#This Row],[燃料別]])</f>
        <v>0</v>
      </c>
      <c r="CZ32" s="114" t="e">
        <f t="shared" si="129"/>
        <v>#N/A</v>
      </c>
      <c r="DA32" s="162" t="e">
        <f t="shared" si="49"/>
        <v>#N/A</v>
      </c>
      <c r="DB32" s="162" t="e">
        <f t="shared" si="130"/>
        <v>#N/A</v>
      </c>
      <c r="DC32" s="162" t="e">
        <f t="shared" si="131"/>
        <v>#N/A</v>
      </c>
      <c r="DD32" s="108" t="e">
        <f t="shared" si="132"/>
        <v>#N/A</v>
      </c>
      <c r="DE32" s="108" t="e">
        <f t="shared" si="136"/>
        <v>#N/A</v>
      </c>
      <c r="DF32" s="190"/>
      <c r="DG32" s="174">
        <f t="shared" si="133"/>
        <v>0</v>
      </c>
    </row>
    <row r="33" spans="1:111" ht="19.95" customHeight="1">
      <c r="A33" s="176"/>
      <c r="B33" s="176"/>
      <c r="C33" s="176"/>
      <c r="D33" s="176"/>
      <c r="E33" s="176"/>
      <c r="F33" s="176"/>
      <c r="G33" s="176"/>
      <c r="H33" s="176"/>
      <c r="I33" s="90">
        <v>20</v>
      </c>
      <c r="J33" s="186"/>
      <c r="K33" s="91" t="s">
        <v>334</v>
      </c>
      <c r="L33" s="102"/>
      <c r="M33" s="268"/>
      <c r="N33" s="93"/>
      <c r="O33" s="90"/>
      <c r="P33" s="94"/>
      <c r="Q33" s="94"/>
      <c r="R33" s="6"/>
      <c r="S33" s="107">
        <f t="shared" si="86"/>
        <v>0</v>
      </c>
      <c r="T33" s="94"/>
      <c r="U33" s="11"/>
      <c r="V33" s="108">
        <f t="shared" si="87"/>
        <v>0</v>
      </c>
      <c r="W33" s="12"/>
      <c r="X33" s="109">
        <f t="shared" si="88"/>
        <v>0</v>
      </c>
      <c r="Y33" s="110">
        <f t="shared" si="89"/>
        <v>0</v>
      </c>
      <c r="Z33" s="95"/>
      <c r="AA33" s="95"/>
      <c r="AB33" s="95"/>
      <c r="AC33" s="95"/>
      <c r="AD33" s="95"/>
      <c r="AE33" s="95"/>
      <c r="AF33" s="94"/>
      <c r="AG33" s="111">
        <f t="shared" si="134"/>
        <v>0</v>
      </c>
      <c r="AH33" s="96"/>
      <c r="AI33" s="111">
        <f t="shared" si="135"/>
        <v>0</v>
      </c>
      <c r="AJ33" s="94"/>
      <c r="AK33" s="94"/>
      <c r="AL33" s="94"/>
      <c r="AM33" s="94"/>
      <c r="AN33" s="94"/>
      <c r="AO33" s="94"/>
      <c r="AP33" s="94"/>
      <c r="AQ33" s="97"/>
      <c r="AR33" s="94"/>
      <c r="AS33" s="94"/>
      <c r="AT33" s="94"/>
      <c r="AU33" s="94"/>
      <c r="AV33" s="97"/>
      <c r="AW33" s="97"/>
      <c r="AX33" s="94"/>
      <c r="AY33" s="94"/>
      <c r="AZ33" s="97"/>
      <c r="BA33" s="96"/>
      <c r="BB33" s="113" t="e">
        <f t="shared" si="90"/>
        <v>#N/A</v>
      </c>
      <c r="BC33" s="142">
        <f>SUMIFS(購入実績入力シート[購入数量],購入実績入力シート[対象月],'管理シート（本体）'!BB$8,購入実績入力シート[氏名],管理シート[[#This Row],[氏名]],購入実績入力シート[燃料別],管理シート[[#This Row],[燃料別]])</f>
        <v>0</v>
      </c>
      <c r="BD33" s="280" t="e">
        <f t="shared" si="91"/>
        <v>#N/A</v>
      </c>
      <c r="BE33" s="162" t="e">
        <f t="shared" si="92"/>
        <v>#N/A</v>
      </c>
      <c r="BF33" s="162" t="e">
        <f t="shared" si="93"/>
        <v>#N/A</v>
      </c>
      <c r="BG33" s="162" t="e">
        <f t="shared" si="94"/>
        <v>#N/A</v>
      </c>
      <c r="BH33" s="142" t="e">
        <f t="shared" si="95"/>
        <v>#N/A</v>
      </c>
      <c r="BI33" s="144">
        <f>SUMIFS(購入実績入力シート[購入数量],購入実績入力シート[対象月],'管理シート（本体）'!BH$8,購入実績入力シート[氏名],管理シート[[#This Row],[氏名]],購入実績入力シート[燃料別],管理シート[[#This Row],[燃料別]])</f>
        <v>0</v>
      </c>
      <c r="BJ33" s="280" t="e">
        <f t="shared" si="96"/>
        <v>#N/A</v>
      </c>
      <c r="BK33" s="162" t="e">
        <f t="shared" si="57"/>
        <v>#N/A</v>
      </c>
      <c r="BL33" s="162" t="e">
        <f t="shared" si="97"/>
        <v>#N/A</v>
      </c>
      <c r="BM33" s="162" t="e">
        <f t="shared" si="98"/>
        <v>#N/A</v>
      </c>
      <c r="BN33" s="142" t="e">
        <f t="shared" si="99"/>
        <v>#N/A</v>
      </c>
      <c r="BO33" s="144">
        <f>SUMIFS(購入実績入力シート[購入数量],購入実績入力シート[対象月],'管理シート（本体）'!BN$8,購入実績入力シート[氏名],管理シート[[#This Row],[氏名]],購入実績入力シート[燃料別],管理シート[[#This Row],[燃料別]])</f>
        <v>0</v>
      </c>
      <c r="BP33" s="280" t="e">
        <f t="shared" si="100"/>
        <v>#N/A</v>
      </c>
      <c r="BQ33" s="162" t="e">
        <f t="shared" si="101"/>
        <v>#N/A</v>
      </c>
      <c r="BR33" s="162" t="e">
        <f t="shared" si="102"/>
        <v>#N/A</v>
      </c>
      <c r="BS33" s="162" t="e">
        <f t="shared" si="103"/>
        <v>#N/A</v>
      </c>
      <c r="BT33" s="142" t="e">
        <f t="shared" si="104"/>
        <v>#N/A</v>
      </c>
      <c r="BU33" s="144">
        <f>SUMIFS(購入実績入力シート[購入数量],購入実績入力シート[対象月],'管理シート（本体）'!BT$8,購入実績入力シート[氏名],管理シート[[#This Row],[氏名]],購入実績入力シート[燃料別],管理シート[[#This Row],[燃料別]])</f>
        <v>0</v>
      </c>
      <c r="BV33" s="114" t="e">
        <f t="shared" si="105"/>
        <v>#N/A</v>
      </c>
      <c r="BW33" s="162" t="e">
        <f t="shared" si="106"/>
        <v>#N/A</v>
      </c>
      <c r="BX33" s="162" t="e">
        <f t="shared" si="107"/>
        <v>#N/A</v>
      </c>
      <c r="BY33" s="162" t="e">
        <f t="shared" si="108"/>
        <v>#N/A</v>
      </c>
      <c r="BZ33" s="142" t="e">
        <f t="shared" si="109"/>
        <v>#N/A</v>
      </c>
      <c r="CA33" s="144">
        <f>SUMIFS(購入実績入力シート[購入数量],購入実績入力シート[対象月],'管理シート（本体）'!BZ$8,購入実績入力シート[氏名],管理シート[[#This Row],[氏名]],購入実績入力シート[燃料別],管理シート[[#This Row],[燃料別]])</f>
        <v>0</v>
      </c>
      <c r="CB33" s="114" t="e">
        <f t="shared" si="110"/>
        <v>#N/A</v>
      </c>
      <c r="CC33" s="162" t="e">
        <f t="shared" si="39"/>
        <v>#N/A</v>
      </c>
      <c r="CD33" s="162" t="e">
        <f t="shared" si="111"/>
        <v>#N/A</v>
      </c>
      <c r="CE33" s="162" t="e">
        <f t="shared" si="112"/>
        <v>#N/A</v>
      </c>
      <c r="CF33" s="142" t="e">
        <f t="shared" si="113"/>
        <v>#N/A</v>
      </c>
      <c r="CG33" s="144">
        <f>SUMIFS(購入実績入力シート[購入数量],購入実績入力シート[対象月],'管理シート（本体）'!CF$8,購入実績入力シート[氏名],管理シート[[#This Row],[氏名]],購入実績入力シート[燃料別],管理シート[[#This Row],[燃料別]])</f>
        <v>0</v>
      </c>
      <c r="CH33" s="114" t="e">
        <f t="shared" si="114"/>
        <v>#N/A</v>
      </c>
      <c r="CI33" s="162" t="e">
        <f t="shared" si="115"/>
        <v>#N/A</v>
      </c>
      <c r="CJ33" s="162" t="e">
        <f t="shared" si="116"/>
        <v>#N/A</v>
      </c>
      <c r="CK33" s="162" t="e">
        <f t="shared" si="117"/>
        <v>#N/A</v>
      </c>
      <c r="CL33" s="142" t="e">
        <f t="shared" si="118"/>
        <v>#N/A</v>
      </c>
      <c r="CM33" s="144">
        <f>SUMIFS(購入実績入力シート[購入数量],購入実績入力シート[対象月],'管理シート（本体）'!CL$8,購入実績入力シート[氏名],管理シート[[#This Row],[氏名]],購入実績入力シート[燃料別],管理シート[[#This Row],[燃料別]])</f>
        <v>0</v>
      </c>
      <c r="CN33" s="114" t="e">
        <f t="shared" si="119"/>
        <v>#N/A</v>
      </c>
      <c r="CO33" s="162" t="e">
        <f t="shared" si="120"/>
        <v>#N/A</v>
      </c>
      <c r="CP33" s="162" t="e">
        <f t="shared" si="121"/>
        <v>#N/A</v>
      </c>
      <c r="CQ33" s="162" t="e">
        <f t="shared" si="122"/>
        <v>#N/A</v>
      </c>
      <c r="CR33" s="142" t="e">
        <f t="shared" si="123"/>
        <v>#N/A</v>
      </c>
      <c r="CS33" s="144">
        <f>SUMIFS(購入実績入力シート[購入数量],購入実績入力シート[対象月],'管理シート（本体）'!CR$8,購入実績入力シート[氏名],管理シート[[#This Row],[氏名]],購入実績入力シート[燃料別],管理シート[[#This Row],[燃料別]])</f>
        <v>0</v>
      </c>
      <c r="CT33" s="114" t="e">
        <f t="shared" si="124"/>
        <v>#N/A</v>
      </c>
      <c r="CU33" s="162" t="e">
        <f t="shared" si="125"/>
        <v>#N/A</v>
      </c>
      <c r="CV33" s="162" t="e">
        <f t="shared" si="126"/>
        <v>#N/A</v>
      </c>
      <c r="CW33" s="162" t="e">
        <f t="shared" si="127"/>
        <v>#N/A</v>
      </c>
      <c r="CX33" s="142" t="e">
        <f t="shared" si="128"/>
        <v>#N/A</v>
      </c>
      <c r="CY33" s="144">
        <f>SUMIFS(購入実績入力シート[購入数量],購入実績入力シート[対象月],'管理シート（本体）'!CX$8,購入実績入力シート[氏名],管理シート[[#This Row],[氏名]],購入実績入力シート[燃料別],管理シート[[#This Row],[燃料別]])</f>
        <v>0</v>
      </c>
      <c r="CZ33" s="114" t="e">
        <f t="shared" si="129"/>
        <v>#N/A</v>
      </c>
      <c r="DA33" s="162" t="e">
        <f t="shared" si="49"/>
        <v>#N/A</v>
      </c>
      <c r="DB33" s="162" t="e">
        <f t="shared" si="130"/>
        <v>#N/A</v>
      </c>
      <c r="DC33" s="162" t="e">
        <f t="shared" si="131"/>
        <v>#N/A</v>
      </c>
      <c r="DD33" s="108" t="e">
        <f t="shared" si="132"/>
        <v>#N/A</v>
      </c>
      <c r="DE33" s="108" t="e">
        <f t="shared" si="136"/>
        <v>#N/A</v>
      </c>
      <c r="DF33" s="190"/>
      <c r="DG33" s="174">
        <f t="shared" si="133"/>
        <v>0</v>
      </c>
    </row>
    <row r="34" spans="1:111" ht="19.95" customHeight="1">
      <c r="A34" s="176"/>
      <c r="B34" s="176"/>
      <c r="C34" s="176"/>
      <c r="D34" s="176"/>
      <c r="E34" s="176"/>
      <c r="F34" s="176"/>
      <c r="G34" s="176"/>
      <c r="H34" s="176"/>
      <c r="I34" s="255">
        <v>21</v>
      </c>
      <c r="J34" s="186"/>
      <c r="K34" s="91" t="s">
        <v>335</v>
      </c>
      <c r="L34" s="102"/>
      <c r="M34" s="268"/>
      <c r="N34" s="93"/>
      <c r="O34" s="90"/>
      <c r="P34" s="94"/>
      <c r="Q34" s="94"/>
      <c r="R34" s="6"/>
      <c r="S34" s="107">
        <f t="shared" si="86"/>
        <v>0</v>
      </c>
      <c r="T34" s="94"/>
      <c r="U34" s="11"/>
      <c r="V34" s="108">
        <f t="shared" si="87"/>
        <v>0</v>
      </c>
      <c r="W34" s="12"/>
      <c r="X34" s="109">
        <f t="shared" si="88"/>
        <v>0</v>
      </c>
      <c r="Y34" s="110">
        <f t="shared" si="89"/>
        <v>0</v>
      </c>
      <c r="Z34" s="95"/>
      <c r="AA34" s="95"/>
      <c r="AB34" s="95"/>
      <c r="AC34" s="95"/>
      <c r="AD34" s="95"/>
      <c r="AE34" s="95"/>
      <c r="AF34" s="94"/>
      <c r="AG34" s="111">
        <f t="shared" si="134"/>
        <v>0</v>
      </c>
      <c r="AH34" s="96"/>
      <c r="AI34" s="111">
        <f t="shared" si="135"/>
        <v>0</v>
      </c>
      <c r="AJ34" s="94"/>
      <c r="AK34" s="94"/>
      <c r="AL34" s="94"/>
      <c r="AM34" s="94"/>
      <c r="AN34" s="94"/>
      <c r="AO34" s="94"/>
      <c r="AP34" s="94"/>
      <c r="AQ34" s="97"/>
      <c r="AR34" s="94"/>
      <c r="AS34" s="94"/>
      <c r="AT34" s="94"/>
      <c r="AU34" s="94"/>
      <c r="AV34" s="97"/>
      <c r="AW34" s="97"/>
      <c r="AX34" s="94"/>
      <c r="AY34" s="94"/>
      <c r="AZ34" s="97"/>
      <c r="BA34" s="96"/>
      <c r="BB34" s="113" t="e">
        <f t="shared" si="90"/>
        <v>#N/A</v>
      </c>
      <c r="BC34" s="142">
        <f>SUMIFS(購入実績入力シート[購入数量],購入実績入力シート[対象月],'管理シート（本体）'!BB$8,購入実績入力シート[氏名],管理シート[[#This Row],[氏名]],購入実績入力シート[燃料別],管理シート[[#This Row],[燃料別]])</f>
        <v>0</v>
      </c>
      <c r="BD34" s="280" t="e">
        <f t="shared" si="91"/>
        <v>#N/A</v>
      </c>
      <c r="BE34" s="162" t="e">
        <f t="shared" si="92"/>
        <v>#N/A</v>
      </c>
      <c r="BF34" s="162" t="e">
        <f t="shared" si="93"/>
        <v>#N/A</v>
      </c>
      <c r="BG34" s="162" t="e">
        <f t="shared" si="94"/>
        <v>#N/A</v>
      </c>
      <c r="BH34" s="142" t="e">
        <f t="shared" si="95"/>
        <v>#N/A</v>
      </c>
      <c r="BI34" s="144">
        <f>SUMIFS(購入実績入力シート[購入数量],購入実績入力シート[対象月],'管理シート（本体）'!BH$8,購入実績入力シート[氏名],管理シート[[#This Row],[氏名]],購入実績入力シート[燃料別],管理シート[[#This Row],[燃料別]])</f>
        <v>0</v>
      </c>
      <c r="BJ34" s="280" t="e">
        <f t="shared" si="96"/>
        <v>#N/A</v>
      </c>
      <c r="BK34" s="162" t="e">
        <f t="shared" si="57"/>
        <v>#N/A</v>
      </c>
      <c r="BL34" s="162" t="e">
        <f t="shared" si="97"/>
        <v>#N/A</v>
      </c>
      <c r="BM34" s="162" t="e">
        <f t="shared" si="98"/>
        <v>#N/A</v>
      </c>
      <c r="BN34" s="142" t="e">
        <f t="shared" si="99"/>
        <v>#N/A</v>
      </c>
      <c r="BO34" s="144">
        <f>SUMIFS(購入実績入力シート[購入数量],購入実績入力シート[対象月],'管理シート（本体）'!BN$8,購入実績入力シート[氏名],管理シート[[#This Row],[氏名]],購入実績入力シート[燃料別],管理シート[[#This Row],[燃料別]])</f>
        <v>0</v>
      </c>
      <c r="BP34" s="280" t="e">
        <f t="shared" si="100"/>
        <v>#N/A</v>
      </c>
      <c r="BQ34" s="162" t="e">
        <f t="shared" si="101"/>
        <v>#N/A</v>
      </c>
      <c r="BR34" s="162" t="e">
        <f t="shared" si="102"/>
        <v>#N/A</v>
      </c>
      <c r="BS34" s="162" t="e">
        <f t="shared" si="103"/>
        <v>#N/A</v>
      </c>
      <c r="BT34" s="142" t="e">
        <f t="shared" si="104"/>
        <v>#N/A</v>
      </c>
      <c r="BU34" s="144">
        <f>SUMIFS(購入実績入力シート[購入数量],購入実績入力シート[対象月],'管理シート（本体）'!BT$8,購入実績入力シート[氏名],管理シート[[#This Row],[氏名]],購入実績入力シート[燃料別],管理シート[[#This Row],[燃料別]])</f>
        <v>0</v>
      </c>
      <c r="BV34" s="114" t="e">
        <f t="shared" si="105"/>
        <v>#N/A</v>
      </c>
      <c r="BW34" s="162" t="e">
        <f t="shared" si="106"/>
        <v>#N/A</v>
      </c>
      <c r="BX34" s="162" t="e">
        <f t="shared" si="107"/>
        <v>#N/A</v>
      </c>
      <c r="BY34" s="162" t="e">
        <f t="shared" si="108"/>
        <v>#N/A</v>
      </c>
      <c r="BZ34" s="142" t="e">
        <f t="shared" si="109"/>
        <v>#N/A</v>
      </c>
      <c r="CA34" s="144">
        <f>SUMIFS(購入実績入力シート[購入数量],購入実績入力シート[対象月],'管理シート（本体）'!BZ$8,購入実績入力シート[氏名],管理シート[[#This Row],[氏名]],購入実績入力シート[燃料別],管理シート[[#This Row],[燃料別]])</f>
        <v>0</v>
      </c>
      <c r="CB34" s="114" t="e">
        <f t="shared" si="110"/>
        <v>#N/A</v>
      </c>
      <c r="CC34" s="162" t="e">
        <f t="shared" si="39"/>
        <v>#N/A</v>
      </c>
      <c r="CD34" s="162" t="e">
        <f t="shared" si="111"/>
        <v>#N/A</v>
      </c>
      <c r="CE34" s="162" t="e">
        <f t="shared" si="112"/>
        <v>#N/A</v>
      </c>
      <c r="CF34" s="142" t="e">
        <f t="shared" si="113"/>
        <v>#N/A</v>
      </c>
      <c r="CG34" s="144">
        <f>SUMIFS(購入実績入力シート[購入数量],購入実績入力シート[対象月],'管理シート（本体）'!CF$8,購入実績入力シート[氏名],管理シート[[#This Row],[氏名]],購入実績入力シート[燃料別],管理シート[[#This Row],[燃料別]])</f>
        <v>0</v>
      </c>
      <c r="CH34" s="114" t="e">
        <f t="shared" si="114"/>
        <v>#N/A</v>
      </c>
      <c r="CI34" s="162" t="e">
        <f t="shared" si="115"/>
        <v>#N/A</v>
      </c>
      <c r="CJ34" s="162" t="e">
        <f t="shared" si="116"/>
        <v>#N/A</v>
      </c>
      <c r="CK34" s="162" t="e">
        <f t="shared" si="117"/>
        <v>#N/A</v>
      </c>
      <c r="CL34" s="142" t="e">
        <f t="shared" si="118"/>
        <v>#N/A</v>
      </c>
      <c r="CM34" s="144">
        <f>SUMIFS(購入実績入力シート[購入数量],購入実績入力シート[対象月],'管理シート（本体）'!CL$8,購入実績入力シート[氏名],管理シート[[#This Row],[氏名]],購入実績入力シート[燃料別],管理シート[[#This Row],[燃料別]])</f>
        <v>0</v>
      </c>
      <c r="CN34" s="114" t="e">
        <f t="shared" si="119"/>
        <v>#N/A</v>
      </c>
      <c r="CO34" s="162" t="e">
        <f t="shared" si="120"/>
        <v>#N/A</v>
      </c>
      <c r="CP34" s="162" t="e">
        <f t="shared" si="121"/>
        <v>#N/A</v>
      </c>
      <c r="CQ34" s="162" t="e">
        <f t="shared" si="122"/>
        <v>#N/A</v>
      </c>
      <c r="CR34" s="142" t="e">
        <f t="shared" si="123"/>
        <v>#N/A</v>
      </c>
      <c r="CS34" s="144">
        <f>SUMIFS(購入実績入力シート[購入数量],購入実績入力シート[対象月],'管理シート（本体）'!CR$8,購入実績入力シート[氏名],管理シート[[#This Row],[氏名]],購入実績入力シート[燃料別],管理シート[[#This Row],[燃料別]])</f>
        <v>0</v>
      </c>
      <c r="CT34" s="114" t="e">
        <f t="shared" si="124"/>
        <v>#N/A</v>
      </c>
      <c r="CU34" s="162" t="e">
        <f t="shared" si="125"/>
        <v>#N/A</v>
      </c>
      <c r="CV34" s="162" t="e">
        <f t="shared" si="126"/>
        <v>#N/A</v>
      </c>
      <c r="CW34" s="162" t="e">
        <f t="shared" si="127"/>
        <v>#N/A</v>
      </c>
      <c r="CX34" s="142" t="e">
        <f t="shared" si="128"/>
        <v>#N/A</v>
      </c>
      <c r="CY34" s="144">
        <f>SUMIFS(購入実績入力シート[購入数量],購入実績入力シート[対象月],'管理シート（本体）'!CX$8,購入実績入力シート[氏名],管理シート[[#This Row],[氏名]],購入実績入力シート[燃料別],管理シート[[#This Row],[燃料別]])</f>
        <v>0</v>
      </c>
      <c r="CZ34" s="114" t="e">
        <f t="shared" si="129"/>
        <v>#N/A</v>
      </c>
      <c r="DA34" s="162" t="e">
        <f t="shared" si="49"/>
        <v>#N/A</v>
      </c>
      <c r="DB34" s="162" t="e">
        <f t="shared" si="130"/>
        <v>#N/A</v>
      </c>
      <c r="DC34" s="162" t="e">
        <f t="shared" si="131"/>
        <v>#N/A</v>
      </c>
      <c r="DD34" s="108" t="e">
        <f t="shared" si="132"/>
        <v>#N/A</v>
      </c>
      <c r="DE34" s="108" t="e">
        <f t="shared" si="136"/>
        <v>#N/A</v>
      </c>
      <c r="DF34" s="190"/>
      <c r="DG34" s="174">
        <f t="shared" si="133"/>
        <v>0</v>
      </c>
    </row>
    <row r="35" spans="1:111" ht="19.95" customHeight="1">
      <c r="A35" s="176"/>
      <c r="B35" s="176"/>
      <c r="C35" s="176"/>
      <c r="D35" s="176"/>
      <c r="E35" s="176"/>
      <c r="F35" s="176"/>
      <c r="G35" s="176"/>
      <c r="H35" s="176"/>
      <c r="I35" s="90">
        <v>22</v>
      </c>
      <c r="J35" s="186"/>
      <c r="K35" s="91" t="s">
        <v>336</v>
      </c>
      <c r="L35" s="102"/>
      <c r="M35" s="268"/>
      <c r="N35" s="93"/>
      <c r="O35" s="90"/>
      <c r="P35" s="94"/>
      <c r="Q35" s="94"/>
      <c r="R35" s="6"/>
      <c r="S35" s="107">
        <f t="shared" si="86"/>
        <v>0</v>
      </c>
      <c r="T35" s="94"/>
      <c r="U35" s="11"/>
      <c r="V35" s="108">
        <f t="shared" si="87"/>
        <v>0</v>
      </c>
      <c r="W35" s="12"/>
      <c r="X35" s="109">
        <f t="shared" si="88"/>
        <v>0</v>
      </c>
      <c r="Y35" s="110">
        <f t="shared" si="89"/>
        <v>0</v>
      </c>
      <c r="Z35" s="95"/>
      <c r="AA35" s="95"/>
      <c r="AB35" s="95"/>
      <c r="AC35" s="95"/>
      <c r="AD35" s="95"/>
      <c r="AE35" s="95"/>
      <c r="AF35" s="94"/>
      <c r="AG35" s="111">
        <f t="shared" si="134"/>
        <v>0</v>
      </c>
      <c r="AH35" s="96"/>
      <c r="AI35" s="111">
        <f t="shared" si="135"/>
        <v>0</v>
      </c>
      <c r="AJ35" s="94"/>
      <c r="AK35" s="94"/>
      <c r="AL35" s="94"/>
      <c r="AM35" s="94"/>
      <c r="AN35" s="94"/>
      <c r="AO35" s="94"/>
      <c r="AP35" s="94"/>
      <c r="AQ35" s="97"/>
      <c r="AR35" s="94"/>
      <c r="AS35" s="94"/>
      <c r="AT35" s="94"/>
      <c r="AU35" s="94"/>
      <c r="AV35" s="97"/>
      <c r="AW35" s="97"/>
      <c r="AX35" s="94"/>
      <c r="AY35" s="94"/>
      <c r="AZ35" s="97"/>
      <c r="BA35" s="96"/>
      <c r="BB35" s="113" t="e">
        <f t="shared" si="90"/>
        <v>#N/A</v>
      </c>
      <c r="BC35" s="142">
        <f>SUMIFS(購入実績入力シート[購入数量],購入実績入力シート[対象月],'管理シート（本体）'!BB$8,購入実績入力シート[氏名],管理シート[[#This Row],[氏名]],購入実績入力シート[燃料別],管理シート[[#This Row],[燃料別]])</f>
        <v>0</v>
      </c>
      <c r="BD35" s="280" t="e">
        <f t="shared" si="91"/>
        <v>#N/A</v>
      </c>
      <c r="BE35" s="162" t="e">
        <f t="shared" si="92"/>
        <v>#N/A</v>
      </c>
      <c r="BF35" s="162" t="e">
        <f t="shared" si="93"/>
        <v>#N/A</v>
      </c>
      <c r="BG35" s="162" t="e">
        <f t="shared" si="94"/>
        <v>#N/A</v>
      </c>
      <c r="BH35" s="142" t="e">
        <f t="shared" si="95"/>
        <v>#N/A</v>
      </c>
      <c r="BI35" s="144">
        <f>SUMIFS(購入実績入力シート[購入数量],購入実績入力シート[対象月],'管理シート（本体）'!BH$8,購入実績入力シート[氏名],管理シート[[#This Row],[氏名]],購入実績入力シート[燃料別],管理シート[[#This Row],[燃料別]])</f>
        <v>0</v>
      </c>
      <c r="BJ35" s="280" t="e">
        <f t="shared" si="96"/>
        <v>#N/A</v>
      </c>
      <c r="BK35" s="162" t="e">
        <f t="shared" si="57"/>
        <v>#N/A</v>
      </c>
      <c r="BL35" s="162" t="e">
        <f t="shared" si="97"/>
        <v>#N/A</v>
      </c>
      <c r="BM35" s="162" t="e">
        <f t="shared" si="98"/>
        <v>#N/A</v>
      </c>
      <c r="BN35" s="142" t="e">
        <f t="shared" si="99"/>
        <v>#N/A</v>
      </c>
      <c r="BO35" s="144">
        <f>SUMIFS(購入実績入力シート[購入数量],購入実績入力シート[対象月],'管理シート（本体）'!BN$8,購入実績入力シート[氏名],管理シート[[#This Row],[氏名]],購入実績入力シート[燃料別],管理シート[[#This Row],[燃料別]])</f>
        <v>0</v>
      </c>
      <c r="BP35" s="280" t="e">
        <f t="shared" si="100"/>
        <v>#N/A</v>
      </c>
      <c r="BQ35" s="162" t="e">
        <f t="shared" si="101"/>
        <v>#N/A</v>
      </c>
      <c r="BR35" s="162" t="e">
        <f t="shared" si="102"/>
        <v>#N/A</v>
      </c>
      <c r="BS35" s="162" t="e">
        <f t="shared" si="103"/>
        <v>#N/A</v>
      </c>
      <c r="BT35" s="142" t="e">
        <f t="shared" si="104"/>
        <v>#N/A</v>
      </c>
      <c r="BU35" s="144">
        <f>SUMIFS(購入実績入力シート[購入数量],購入実績入力シート[対象月],'管理シート（本体）'!BT$8,購入実績入力シート[氏名],管理シート[[#This Row],[氏名]],購入実績入力シート[燃料別],管理シート[[#This Row],[燃料別]])</f>
        <v>0</v>
      </c>
      <c r="BV35" s="114" t="e">
        <f t="shared" si="105"/>
        <v>#N/A</v>
      </c>
      <c r="BW35" s="162" t="e">
        <f t="shared" si="106"/>
        <v>#N/A</v>
      </c>
      <c r="BX35" s="162" t="e">
        <f t="shared" si="107"/>
        <v>#N/A</v>
      </c>
      <c r="BY35" s="162" t="e">
        <f t="shared" si="108"/>
        <v>#N/A</v>
      </c>
      <c r="BZ35" s="142" t="e">
        <f t="shared" si="109"/>
        <v>#N/A</v>
      </c>
      <c r="CA35" s="144">
        <f>SUMIFS(購入実績入力シート[購入数量],購入実績入力シート[対象月],'管理シート（本体）'!BZ$8,購入実績入力シート[氏名],管理シート[[#This Row],[氏名]],購入実績入力シート[燃料別],管理シート[[#This Row],[燃料別]])</f>
        <v>0</v>
      </c>
      <c r="CB35" s="114" t="e">
        <f t="shared" si="110"/>
        <v>#N/A</v>
      </c>
      <c r="CC35" s="162" t="e">
        <f t="shared" si="39"/>
        <v>#N/A</v>
      </c>
      <c r="CD35" s="162" t="e">
        <f t="shared" si="111"/>
        <v>#N/A</v>
      </c>
      <c r="CE35" s="162" t="e">
        <f t="shared" si="112"/>
        <v>#N/A</v>
      </c>
      <c r="CF35" s="142" t="e">
        <f t="shared" si="113"/>
        <v>#N/A</v>
      </c>
      <c r="CG35" s="144">
        <f>SUMIFS(購入実績入力シート[購入数量],購入実績入力シート[対象月],'管理シート（本体）'!CF$8,購入実績入力シート[氏名],管理シート[[#This Row],[氏名]],購入実績入力シート[燃料別],管理シート[[#This Row],[燃料別]])</f>
        <v>0</v>
      </c>
      <c r="CH35" s="114" t="e">
        <f t="shared" si="114"/>
        <v>#N/A</v>
      </c>
      <c r="CI35" s="162" t="e">
        <f t="shared" si="115"/>
        <v>#N/A</v>
      </c>
      <c r="CJ35" s="162" t="e">
        <f t="shared" si="116"/>
        <v>#N/A</v>
      </c>
      <c r="CK35" s="162" t="e">
        <f t="shared" si="117"/>
        <v>#N/A</v>
      </c>
      <c r="CL35" s="142" t="e">
        <f t="shared" si="118"/>
        <v>#N/A</v>
      </c>
      <c r="CM35" s="144">
        <f>SUMIFS(購入実績入力シート[購入数量],購入実績入力シート[対象月],'管理シート（本体）'!CL$8,購入実績入力シート[氏名],管理シート[[#This Row],[氏名]],購入実績入力シート[燃料別],管理シート[[#This Row],[燃料別]])</f>
        <v>0</v>
      </c>
      <c r="CN35" s="114" t="e">
        <f t="shared" si="119"/>
        <v>#N/A</v>
      </c>
      <c r="CO35" s="162" t="e">
        <f t="shared" si="120"/>
        <v>#N/A</v>
      </c>
      <c r="CP35" s="162" t="e">
        <f t="shared" si="121"/>
        <v>#N/A</v>
      </c>
      <c r="CQ35" s="162" t="e">
        <f t="shared" si="122"/>
        <v>#N/A</v>
      </c>
      <c r="CR35" s="142" t="e">
        <f t="shared" si="123"/>
        <v>#N/A</v>
      </c>
      <c r="CS35" s="144">
        <f>SUMIFS(購入実績入力シート[購入数量],購入実績入力シート[対象月],'管理シート（本体）'!CR$8,購入実績入力シート[氏名],管理シート[[#This Row],[氏名]],購入実績入力シート[燃料別],管理シート[[#This Row],[燃料別]])</f>
        <v>0</v>
      </c>
      <c r="CT35" s="114" t="e">
        <f t="shared" si="124"/>
        <v>#N/A</v>
      </c>
      <c r="CU35" s="162" t="e">
        <f t="shared" si="125"/>
        <v>#N/A</v>
      </c>
      <c r="CV35" s="162" t="e">
        <f t="shared" si="126"/>
        <v>#N/A</v>
      </c>
      <c r="CW35" s="162" t="e">
        <f t="shared" si="127"/>
        <v>#N/A</v>
      </c>
      <c r="CX35" s="142" t="e">
        <f t="shared" si="128"/>
        <v>#N/A</v>
      </c>
      <c r="CY35" s="144">
        <f>SUMIFS(購入実績入力シート[購入数量],購入実績入力シート[対象月],'管理シート（本体）'!CX$8,購入実績入力シート[氏名],管理シート[[#This Row],[氏名]],購入実績入力シート[燃料別],管理シート[[#This Row],[燃料別]])</f>
        <v>0</v>
      </c>
      <c r="CZ35" s="114" t="e">
        <f t="shared" si="129"/>
        <v>#N/A</v>
      </c>
      <c r="DA35" s="162" t="e">
        <f t="shared" si="49"/>
        <v>#N/A</v>
      </c>
      <c r="DB35" s="162" t="e">
        <f t="shared" si="130"/>
        <v>#N/A</v>
      </c>
      <c r="DC35" s="162" t="e">
        <f t="shared" si="131"/>
        <v>#N/A</v>
      </c>
      <c r="DD35" s="108" t="e">
        <f t="shared" si="132"/>
        <v>#N/A</v>
      </c>
      <c r="DE35" s="108" t="e">
        <f t="shared" si="136"/>
        <v>#N/A</v>
      </c>
      <c r="DF35" s="190"/>
      <c r="DG35" s="174">
        <f t="shared" si="133"/>
        <v>0</v>
      </c>
    </row>
    <row r="36" spans="1:111" ht="19.95" customHeight="1">
      <c r="A36" s="176"/>
      <c r="B36" s="176"/>
      <c r="C36" s="176"/>
      <c r="D36" s="176"/>
      <c r="E36" s="176"/>
      <c r="F36" s="176"/>
      <c r="G36" s="176"/>
      <c r="H36" s="176"/>
      <c r="I36" s="90">
        <v>23</v>
      </c>
      <c r="J36" s="186"/>
      <c r="K36" s="91" t="s">
        <v>337</v>
      </c>
      <c r="L36" s="102"/>
      <c r="M36" s="268"/>
      <c r="N36" s="93"/>
      <c r="O36" s="90"/>
      <c r="P36" s="94"/>
      <c r="Q36" s="94"/>
      <c r="R36" s="6"/>
      <c r="S36" s="107">
        <f t="shared" si="86"/>
        <v>0</v>
      </c>
      <c r="T36" s="94"/>
      <c r="U36" s="11"/>
      <c r="V36" s="108">
        <f t="shared" si="87"/>
        <v>0</v>
      </c>
      <c r="W36" s="12"/>
      <c r="X36" s="109">
        <f t="shared" si="88"/>
        <v>0</v>
      </c>
      <c r="Y36" s="110">
        <f t="shared" si="89"/>
        <v>0</v>
      </c>
      <c r="Z36" s="95"/>
      <c r="AA36" s="95"/>
      <c r="AB36" s="95"/>
      <c r="AC36" s="95"/>
      <c r="AD36" s="95"/>
      <c r="AE36" s="95"/>
      <c r="AF36" s="94"/>
      <c r="AG36" s="111">
        <f t="shared" si="134"/>
        <v>0</v>
      </c>
      <c r="AH36" s="96"/>
      <c r="AI36" s="111">
        <f t="shared" si="135"/>
        <v>0</v>
      </c>
      <c r="AJ36" s="94"/>
      <c r="AK36" s="94"/>
      <c r="AL36" s="94"/>
      <c r="AM36" s="94"/>
      <c r="AN36" s="94"/>
      <c r="AO36" s="94"/>
      <c r="AP36" s="94"/>
      <c r="AQ36" s="97"/>
      <c r="AR36" s="94"/>
      <c r="AS36" s="94"/>
      <c r="AT36" s="94"/>
      <c r="AU36" s="94"/>
      <c r="AV36" s="97"/>
      <c r="AW36" s="97"/>
      <c r="AX36" s="94"/>
      <c r="AY36" s="94"/>
      <c r="AZ36" s="97"/>
      <c r="BA36" s="96"/>
      <c r="BB36" s="113" t="e">
        <f t="shared" si="90"/>
        <v>#N/A</v>
      </c>
      <c r="BC36" s="142">
        <f>SUMIFS(購入実績入力シート[購入数量],購入実績入力シート[対象月],'管理シート（本体）'!BB$8,購入実績入力シート[氏名],管理シート[[#This Row],[氏名]],購入実績入力シート[燃料別],管理シート[[#This Row],[燃料別]])</f>
        <v>0</v>
      </c>
      <c r="BD36" s="280" t="e">
        <f t="shared" si="91"/>
        <v>#N/A</v>
      </c>
      <c r="BE36" s="162" t="e">
        <f t="shared" si="92"/>
        <v>#N/A</v>
      </c>
      <c r="BF36" s="162" t="e">
        <f t="shared" si="93"/>
        <v>#N/A</v>
      </c>
      <c r="BG36" s="162" t="e">
        <f t="shared" si="94"/>
        <v>#N/A</v>
      </c>
      <c r="BH36" s="142" t="e">
        <f t="shared" si="95"/>
        <v>#N/A</v>
      </c>
      <c r="BI36" s="144">
        <f>SUMIFS(購入実績入力シート[購入数量],購入実績入力シート[対象月],'管理シート（本体）'!BH$8,購入実績入力シート[氏名],管理シート[[#This Row],[氏名]],購入実績入力シート[燃料別],管理シート[[#This Row],[燃料別]])</f>
        <v>0</v>
      </c>
      <c r="BJ36" s="280" t="e">
        <f t="shared" si="96"/>
        <v>#N/A</v>
      </c>
      <c r="BK36" s="162" t="e">
        <f t="shared" si="57"/>
        <v>#N/A</v>
      </c>
      <c r="BL36" s="162" t="e">
        <f t="shared" si="97"/>
        <v>#N/A</v>
      </c>
      <c r="BM36" s="162" t="e">
        <f t="shared" si="98"/>
        <v>#N/A</v>
      </c>
      <c r="BN36" s="142" t="e">
        <f t="shared" si="99"/>
        <v>#N/A</v>
      </c>
      <c r="BO36" s="144">
        <f>SUMIFS(購入実績入力シート[購入数量],購入実績入力シート[対象月],'管理シート（本体）'!BN$8,購入実績入力シート[氏名],管理シート[[#This Row],[氏名]],購入実績入力シート[燃料別],管理シート[[#This Row],[燃料別]])</f>
        <v>0</v>
      </c>
      <c r="BP36" s="280" t="e">
        <f t="shared" si="100"/>
        <v>#N/A</v>
      </c>
      <c r="BQ36" s="162" t="e">
        <f t="shared" si="101"/>
        <v>#N/A</v>
      </c>
      <c r="BR36" s="162" t="e">
        <f t="shared" si="102"/>
        <v>#N/A</v>
      </c>
      <c r="BS36" s="162" t="e">
        <f t="shared" si="103"/>
        <v>#N/A</v>
      </c>
      <c r="BT36" s="142" t="e">
        <f t="shared" si="104"/>
        <v>#N/A</v>
      </c>
      <c r="BU36" s="144">
        <f>SUMIFS(購入実績入力シート[購入数量],購入実績入力シート[対象月],'管理シート（本体）'!BT$8,購入実績入力シート[氏名],管理シート[[#This Row],[氏名]],購入実績入力シート[燃料別],管理シート[[#This Row],[燃料別]])</f>
        <v>0</v>
      </c>
      <c r="BV36" s="114" t="e">
        <f t="shared" si="105"/>
        <v>#N/A</v>
      </c>
      <c r="BW36" s="162" t="e">
        <f t="shared" si="106"/>
        <v>#N/A</v>
      </c>
      <c r="BX36" s="162" t="e">
        <f t="shared" si="107"/>
        <v>#N/A</v>
      </c>
      <c r="BY36" s="162" t="e">
        <f t="shared" si="108"/>
        <v>#N/A</v>
      </c>
      <c r="BZ36" s="142" t="e">
        <f t="shared" si="109"/>
        <v>#N/A</v>
      </c>
      <c r="CA36" s="144">
        <f>SUMIFS(購入実績入力シート[購入数量],購入実績入力シート[対象月],'管理シート（本体）'!BZ$8,購入実績入力シート[氏名],管理シート[[#This Row],[氏名]],購入実績入力シート[燃料別],管理シート[[#This Row],[燃料別]])</f>
        <v>0</v>
      </c>
      <c r="CB36" s="114" t="e">
        <f t="shared" si="110"/>
        <v>#N/A</v>
      </c>
      <c r="CC36" s="162" t="e">
        <f t="shared" si="39"/>
        <v>#N/A</v>
      </c>
      <c r="CD36" s="162" t="e">
        <f t="shared" si="111"/>
        <v>#N/A</v>
      </c>
      <c r="CE36" s="162" t="e">
        <f t="shared" si="112"/>
        <v>#N/A</v>
      </c>
      <c r="CF36" s="142" t="e">
        <f t="shared" si="113"/>
        <v>#N/A</v>
      </c>
      <c r="CG36" s="144">
        <f>SUMIFS(購入実績入力シート[購入数量],購入実績入力シート[対象月],'管理シート（本体）'!CF$8,購入実績入力シート[氏名],管理シート[[#This Row],[氏名]],購入実績入力シート[燃料別],管理シート[[#This Row],[燃料別]])</f>
        <v>0</v>
      </c>
      <c r="CH36" s="114" t="e">
        <f t="shared" si="114"/>
        <v>#N/A</v>
      </c>
      <c r="CI36" s="162" t="e">
        <f t="shared" si="115"/>
        <v>#N/A</v>
      </c>
      <c r="CJ36" s="162" t="e">
        <f t="shared" si="116"/>
        <v>#N/A</v>
      </c>
      <c r="CK36" s="162" t="e">
        <f t="shared" si="117"/>
        <v>#N/A</v>
      </c>
      <c r="CL36" s="142" t="e">
        <f t="shared" si="118"/>
        <v>#N/A</v>
      </c>
      <c r="CM36" s="144">
        <f>SUMIFS(購入実績入力シート[購入数量],購入実績入力シート[対象月],'管理シート（本体）'!CL$8,購入実績入力シート[氏名],管理シート[[#This Row],[氏名]],購入実績入力シート[燃料別],管理シート[[#This Row],[燃料別]])</f>
        <v>0</v>
      </c>
      <c r="CN36" s="114" t="e">
        <f t="shared" si="119"/>
        <v>#N/A</v>
      </c>
      <c r="CO36" s="162" t="e">
        <f t="shared" si="120"/>
        <v>#N/A</v>
      </c>
      <c r="CP36" s="162" t="e">
        <f t="shared" si="121"/>
        <v>#N/A</v>
      </c>
      <c r="CQ36" s="162" t="e">
        <f t="shared" si="122"/>
        <v>#N/A</v>
      </c>
      <c r="CR36" s="142" t="e">
        <f t="shared" si="123"/>
        <v>#N/A</v>
      </c>
      <c r="CS36" s="144">
        <f>SUMIFS(購入実績入力シート[購入数量],購入実績入力シート[対象月],'管理シート（本体）'!CR$8,購入実績入力シート[氏名],管理シート[[#This Row],[氏名]],購入実績入力シート[燃料別],管理シート[[#This Row],[燃料別]])</f>
        <v>0</v>
      </c>
      <c r="CT36" s="114" t="e">
        <f t="shared" si="124"/>
        <v>#N/A</v>
      </c>
      <c r="CU36" s="162" t="e">
        <f t="shared" si="125"/>
        <v>#N/A</v>
      </c>
      <c r="CV36" s="162" t="e">
        <f t="shared" si="126"/>
        <v>#N/A</v>
      </c>
      <c r="CW36" s="162" t="e">
        <f t="shared" si="127"/>
        <v>#N/A</v>
      </c>
      <c r="CX36" s="142" t="e">
        <f t="shared" si="128"/>
        <v>#N/A</v>
      </c>
      <c r="CY36" s="144">
        <f>SUMIFS(購入実績入力シート[購入数量],購入実績入力シート[対象月],'管理シート（本体）'!CX$8,購入実績入力シート[氏名],管理シート[[#This Row],[氏名]],購入実績入力シート[燃料別],管理シート[[#This Row],[燃料別]])</f>
        <v>0</v>
      </c>
      <c r="CZ36" s="114" t="e">
        <f t="shared" si="129"/>
        <v>#N/A</v>
      </c>
      <c r="DA36" s="162" t="e">
        <f t="shared" si="49"/>
        <v>#N/A</v>
      </c>
      <c r="DB36" s="162" t="e">
        <f t="shared" si="130"/>
        <v>#N/A</v>
      </c>
      <c r="DC36" s="162" t="e">
        <f t="shared" si="131"/>
        <v>#N/A</v>
      </c>
      <c r="DD36" s="108" t="e">
        <f t="shared" si="132"/>
        <v>#N/A</v>
      </c>
      <c r="DE36" s="108" t="e">
        <f t="shared" si="136"/>
        <v>#N/A</v>
      </c>
      <c r="DF36" s="190"/>
      <c r="DG36" s="174">
        <f t="shared" si="133"/>
        <v>0</v>
      </c>
    </row>
    <row r="37" spans="1:111" ht="19.95" customHeight="1">
      <c r="A37" s="176"/>
      <c r="B37" s="176"/>
      <c r="C37" s="176"/>
      <c r="D37" s="176"/>
      <c r="E37" s="176"/>
      <c r="F37" s="176"/>
      <c r="G37" s="176"/>
      <c r="H37" s="176"/>
      <c r="I37" s="90">
        <v>24</v>
      </c>
      <c r="J37" s="186"/>
      <c r="K37" s="91" t="s">
        <v>338</v>
      </c>
      <c r="L37" s="102"/>
      <c r="M37" s="268"/>
      <c r="N37" s="93"/>
      <c r="O37" s="90"/>
      <c r="P37" s="94"/>
      <c r="Q37" s="94"/>
      <c r="R37" s="6"/>
      <c r="S37" s="107">
        <f t="shared" si="86"/>
        <v>0</v>
      </c>
      <c r="T37" s="94"/>
      <c r="U37" s="11"/>
      <c r="V37" s="108">
        <f t="shared" si="87"/>
        <v>0</v>
      </c>
      <c r="W37" s="12"/>
      <c r="X37" s="109">
        <f t="shared" si="88"/>
        <v>0</v>
      </c>
      <c r="Y37" s="110">
        <f t="shared" si="89"/>
        <v>0</v>
      </c>
      <c r="Z37" s="95"/>
      <c r="AA37" s="95"/>
      <c r="AB37" s="95"/>
      <c r="AC37" s="95"/>
      <c r="AD37" s="95"/>
      <c r="AE37" s="95"/>
      <c r="AF37" s="94"/>
      <c r="AG37" s="111">
        <f t="shared" si="134"/>
        <v>0</v>
      </c>
      <c r="AH37" s="96"/>
      <c r="AI37" s="111">
        <f t="shared" si="135"/>
        <v>0</v>
      </c>
      <c r="AJ37" s="94"/>
      <c r="AK37" s="94"/>
      <c r="AL37" s="94"/>
      <c r="AM37" s="94"/>
      <c r="AN37" s="94"/>
      <c r="AO37" s="94"/>
      <c r="AP37" s="94"/>
      <c r="AQ37" s="97"/>
      <c r="AR37" s="94"/>
      <c r="AS37" s="94"/>
      <c r="AT37" s="94"/>
      <c r="AU37" s="94"/>
      <c r="AV37" s="97"/>
      <c r="AW37" s="97"/>
      <c r="AX37" s="94"/>
      <c r="AY37" s="94"/>
      <c r="AZ37" s="97"/>
      <c r="BA37" s="96"/>
      <c r="BB37" s="113" t="e">
        <f t="shared" si="90"/>
        <v>#N/A</v>
      </c>
      <c r="BC37" s="142">
        <f>SUMIFS(購入実績入力シート[購入数量],購入実績入力シート[対象月],'管理シート（本体）'!BB$8,購入実績入力シート[氏名],管理シート[[#This Row],[氏名]],購入実績入力シート[燃料別],管理シート[[#This Row],[燃料別]])</f>
        <v>0</v>
      </c>
      <c r="BD37" s="280" t="e">
        <f t="shared" si="91"/>
        <v>#N/A</v>
      </c>
      <c r="BE37" s="162" t="e">
        <f t="shared" si="92"/>
        <v>#N/A</v>
      </c>
      <c r="BF37" s="162" t="e">
        <f t="shared" si="93"/>
        <v>#N/A</v>
      </c>
      <c r="BG37" s="162" t="e">
        <f t="shared" si="94"/>
        <v>#N/A</v>
      </c>
      <c r="BH37" s="142" t="e">
        <f t="shared" si="95"/>
        <v>#N/A</v>
      </c>
      <c r="BI37" s="144">
        <f>SUMIFS(購入実績入力シート[購入数量],購入実績入力シート[対象月],'管理シート（本体）'!BH$8,購入実績入力シート[氏名],管理シート[[#This Row],[氏名]],購入実績入力シート[燃料別],管理シート[[#This Row],[燃料別]])</f>
        <v>0</v>
      </c>
      <c r="BJ37" s="280" t="e">
        <f t="shared" si="96"/>
        <v>#N/A</v>
      </c>
      <c r="BK37" s="162" t="e">
        <f t="shared" si="57"/>
        <v>#N/A</v>
      </c>
      <c r="BL37" s="162" t="e">
        <f t="shared" si="97"/>
        <v>#N/A</v>
      </c>
      <c r="BM37" s="162" t="e">
        <f t="shared" si="98"/>
        <v>#N/A</v>
      </c>
      <c r="BN37" s="142" t="e">
        <f t="shared" si="99"/>
        <v>#N/A</v>
      </c>
      <c r="BO37" s="144">
        <f>SUMIFS(購入実績入力シート[購入数量],購入実績入力シート[対象月],'管理シート（本体）'!BN$8,購入実績入力シート[氏名],管理シート[[#This Row],[氏名]],購入実績入力シート[燃料別],管理シート[[#This Row],[燃料別]])</f>
        <v>0</v>
      </c>
      <c r="BP37" s="280" t="e">
        <f t="shared" si="100"/>
        <v>#N/A</v>
      </c>
      <c r="BQ37" s="162" t="e">
        <f t="shared" si="101"/>
        <v>#N/A</v>
      </c>
      <c r="BR37" s="162" t="e">
        <f t="shared" si="102"/>
        <v>#N/A</v>
      </c>
      <c r="BS37" s="162" t="e">
        <f t="shared" si="103"/>
        <v>#N/A</v>
      </c>
      <c r="BT37" s="142" t="e">
        <f t="shared" si="104"/>
        <v>#N/A</v>
      </c>
      <c r="BU37" s="144">
        <f>SUMIFS(購入実績入力シート[購入数量],購入実績入力シート[対象月],'管理シート（本体）'!BT$8,購入実績入力シート[氏名],管理シート[[#This Row],[氏名]],購入実績入力シート[燃料別],管理シート[[#This Row],[燃料別]])</f>
        <v>0</v>
      </c>
      <c r="BV37" s="114" t="e">
        <f t="shared" si="105"/>
        <v>#N/A</v>
      </c>
      <c r="BW37" s="162" t="e">
        <f t="shared" si="106"/>
        <v>#N/A</v>
      </c>
      <c r="BX37" s="162" t="e">
        <f t="shared" si="107"/>
        <v>#N/A</v>
      </c>
      <c r="BY37" s="162" t="e">
        <f t="shared" si="108"/>
        <v>#N/A</v>
      </c>
      <c r="BZ37" s="142" t="e">
        <f t="shared" si="109"/>
        <v>#N/A</v>
      </c>
      <c r="CA37" s="144">
        <f>SUMIFS(購入実績入力シート[購入数量],購入実績入力シート[対象月],'管理シート（本体）'!BZ$8,購入実績入力シート[氏名],管理シート[[#This Row],[氏名]],購入実績入力シート[燃料別],管理シート[[#This Row],[燃料別]])</f>
        <v>0</v>
      </c>
      <c r="CB37" s="114" t="e">
        <f t="shared" si="110"/>
        <v>#N/A</v>
      </c>
      <c r="CC37" s="162" t="e">
        <f t="shared" si="39"/>
        <v>#N/A</v>
      </c>
      <c r="CD37" s="162" t="e">
        <f t="shared" si="111"/>
        <v>#N/A</v>
      </c>
      <c r="CE37" s="162" t="e">
        <f t="shared" si="112"/>
        <v>#N/A</v>
      </c>
      <c r="CF37" s="142" t="e">
        <f t="shared" si="113"/>
        <v>#N/A</v>
      </c>
      <c r="CG37" s="144">
        <f>SUMIFS(購入実績入力シート[購入数量],購入実績入力シート[対象月],'管理シート（本体）'!CF$8,購入実績入力シート[氏名],管理シート[[#This Row],[氏名]],購入実績入力シート[燃料別],管理シート[[#This Row],[燃料別]])</f>
        <v>0</v>
      </c>
      <c r="CH37" s="114" t="e">
        <f t="shared" si="114"/>
        <v>#N/A</v>
      </c>
      <c r="CI37" s="162" t="e">
        <f t="shared" si="115"/>
        <v>#N/A</v>
      </c>
      <c r="CJ37" s="162" t="e">
        <f t="shared" si="116"/>
        <v>#N/A</v>
      </c>
      <c r="CK37" s="162" t="e">
        <f t="shared" si="117"/>
        <v>#N/A</v>
      </c>
      <c r="CL37" s="142" t="e">
        <f t="shared" si="118"/>
        <v>#N/A</v>
      </c>
      <c r="CM37" s="144">
        <f>SUMIFS(購入実績入力シート[購入数量],購入実績入力シート[対象月],'管理シート（本体）'!CL$8,購入実績入力シート[氏名],管理シート[[#This Row],[氏名]],購入実績入力シート[燃料別],管理シート[[#This Row],[燃料別]])</f>
        <v>0</v>
      </c>
      <c r="CN37" s="114" t="e">
        <f t="shared" si="119"/>
        <v>#N/A</v>
      </c>
      <c r="CO37" s="162" t="e">
        <f t="shared" si="120"/>
        <v>#N/A</v>
      </c>
      <c r="CP37" s="162" t="e">
        <f t="shared" si="121"/>
        <v>#N/A</v>
      </c>
      <c r="CQ37" s="162" t="e">
        <f t="shared" si="122"/>
        <v>#N/A</v>
      </c>
      <c r="CR37" s="142" t="e">
        <f t="shared" si="123"/>
        <v>#N/A</v>
      </c>
      <c r="CS37" s="144">
        <f>SUMIFS(購入実績入力シート[購入数量],購入実績入力シート[対象月],'管理シート（本体）'!CR$8,購入実績入力シート[氏名],管理シート[[#This Row],[氏名]],購入実績入力シート[燃料別],管理シート[[#This Row],[燃料別]])</f>
        <v>0</v>
      </c>
      <c r="CT37" s="114" t="e">
        <f t="shared" si="124"/>
        <v>#N/A</v>
      </c>
      <c r="CU37" s="162" t="e">
        <f t="shared" si="125"/>
        <v>#N/A</v>
      </c>
      <c r="CV37" s="162" t="e">
        <f t="shared" si="126"/>
        <v>#N/A</v>
      </c>
      <c r="CW37" s="162" t="e">
        <f t="shared" si="127"/>
        <v>#N/A</v>
      </c>
      <c r="CX37" s="142" t="e">
        <f t="shared" si="128"/>
        <v>#N/A</v>
      </c>
      <c r="CY37" s="144">
        <f>SUMIFS(購入実績入力シート[購入数量],購入実績入力シート[対象月],'管理シート（本体）'!CX$8,購入実績入力シート[氏名],管理シート[[#This Row],[氏名]],購入実績入力シート[燃料別],管理シート[[#This Row],[燃料別]])</f>
        <v>0</v>
      </c>
      <c r="CZ37" s="114" t="e">
        <f t="shared" si="129"/>
        <v>#N/A</v>
      </c>
      <c r="DA37" s="162" t="e">
        <f t="shared" si="49"/>
        <v>#N/A</v>
      </c>
      <c r="DB37" s="162" t="e">
        <f t="shared" si="130"/>
        <v>#N/A</v>
      </c>
      <c r="DC37" s="162" t="e">
        <f t="shared" si="131"/>
        <v>#N/A</v>
      </c>
      <c r="DD37" s="108" t="e">
        <f t="shared" si="132"/>
        <v>#N/A</v>
      </c>
      <c r="DE37" s="108" t="e">
        <f t="shared" si="136"/>
        <v>#N/A</v>
      </c>
      <c r="DF37" s="190"/>
      <c r="DG37" s="174">
        <f t="shared" si="133"/>
        <v>0</v>
      </c>
    </row>
    <row r="38" spans="1:111" ht="19.95" customHeight="1">
      <c r="A38" s="176"/>
      <c r="B38" s="176"/>
      <c r="C38" s="176"/>
      <c r="D38" s="176"/>
      <c r="E38" s="176"/>
      <c r="F38" s="176"/>
      <c r="G38" s="176"/>
      <c r="H38" s="176"/>
      <c r="I38" s="255">
        <v>25</v>
      </c>
      <c r="J38" s="186"/>
      <c r="K38" s="91" t="s">
        <v>339</v>
      </c>
      <c r="L38" s="102"/>
      <c r="M38" s="268"/>
      <c r="N38" s="93"/>
      <c r="O38" s="90"/>
      <c r="P38" s="94"/>
      <c r="Q38" s="94"/>
      <c r="R38" s="6"/>
      <c r="S38" s="107">
        <f t="shared" si="86"/>
        <v>0</v>
      </c>
      <c r="T38" s="94"/>
      <c r="U38" s="11"/>
      <c r="V38" s="108">
        <f t="shared" si="87"/>
        <v>0</v>
      </c>
      <c r="W38" s="12"/>
      <c r="X38" s="109">
        <f t="shared" si="88"/>
        <v>0</v>
      </c>
      <c r="Y38" s="110">
        <f t="shared" si="89"/>
        <v>0</v>
      </c>
      <c r="Z38" s="95"/>
      <c r="AA38" s="95"/>
      <c r="AB38" s="95"/>
      <c r="AC38" s="95"/>
      <c r="AD38" s="95"/>
      <c r="AE38" s="95"/>
      <c r="AF38" s="94"/>
      <c r="AG38" s="111">
        <f t="shared" si="134"/>
        <v>0</v>
      </c>
      <c r="AH38" s="96"/>
      <c r="AI38" s="111">
        <f t="shared" si="135"/>
        <v>0</v>
      </c>
      <c r="AJ38" s="94"/>
      <c r="AK38" s="94"/>
      <c r="AL38" s="94"/>
      <c r="AM38" s="94"/>
      <c r="AN38" s="94"/>
      <c r="AO38" s="94"/>
      <c r="AP38" s="94"/>
      <c r="AQ38" s="97"/>
      <c r="AR38" s="94"/>
      <c r="AS38" s="94"/>
      <c r="AT38" s="94"/>
      <c r="AU38" s="94"/>
      <c r="AV38" s="97"/>
      <c r="AW38" s="97"/>
      <c r="AX38" s="94"/>
      <c r="AY38" s="94"/>
      <c r="AZ38" s="97"/>
      <c r="BA38" s="96"/>
      <c r="BB38" s="113" t="e">
        <f t="shared" si="90"/>
        <v>#N/A</v>
      </c>
      <c r="BC38" s="142">
        <f>SUMIFS(購入実績入力シート[購入数量],購入実績入力シート[対象月],'管理シート（本体）'!BB$8,購入実績入力シート[氏名],管理シート[[#This Row],[氏名]],購入実績入力シート[燃料別],管理シート[[#This Row],[燃料別]])</f>
        <v>0</v>
      </c>
      <c r="BD38" s="280" t="e">
        <f t="shared" si="91"/>
        <v>#N/A</v>
      </c>
      <c r="BE38" s="162" t="e">
        <f t="shared" si="92"/>
        <v>#N/A</v>
      </c>
      <c r="BF38" s="162" t="e">
        <f t="shared" si="93"/>
        <v>#N/A</v>
      </c>
      <c r="BG38" s="162" t="e">
        <f t="shared" si="94"/>
        <v>#N/A</v>
      </c>
      <c r="BH38" s="142" t="e">
        <f t="shared" si="95"/>
        <v>#N/A</v>
      </c>
      <c r="BI38" s="144">
        <f>SUMIFS(購入実績入力シート[購入数量],購入実績入力シート[対象月],'管理シート（本体）'!BH$8,購入実績入力シート[氏名],管理シート[[#This Row],[氏名]],購入実績入力シート[燃料別],管理シート[[#This Row],[燃料別]])</f>
        <v>0</v>
      </c>
      <c r="BJ38" s="280" t="e">
        <f t="shared" si="96"/>
        <v>#N/A</v>
      </c>
      <c r="BK38" s="162" t="e">
        <f t="shared" si="57"/>
        <v>#N/A</v>
      </c>
      <c r="BL38" s="162" t="e">
        <f t="shared" si="97"/>
        <v>#N/A</v>
      </c>
      <c r="BM38" s="162" t="e">
        <f t="shared" si="98"/>
        <v>#N/A</v>
      </c>
      <c r="BN38" s="142" t="e">
        <f t="shared" si="99"/>
        <v>#N/A</v>
      </c>
      <c r="BO38" s="144">
        <f>SUMIFS(購入実績入力シート[購入数量],購入実績入力シート[対象月],'管理シート（本体）'!BN$8,購入実績入力シート[氏名],管理シート[[#This Row],[氏名]],購入実績入力シート[燃料別],管理シート[[#This Row],[燃料別]])</f>
        <v>0</v>
      </c>
      <c r="BP38" s="280" t="e">
        <f t="shared" si="100"/>
        <v>#N/A</v>
      </c>
      <c r="BQ38" s="162" t="e">
        <f t="shared" si="101"/>
        <v>#N/A</v>
      </c>
      <c r="BR38" s="162" t="e">
        <f t="shared" si="102"/>
        <v>#N/A</v>
      </c>
      <c r="BS38" s="162" t="e">
        <f t="shared" si="103"/>
        <v>#N/A</v>
      </c>
      <c r="BT38" s="142" t="e">
        <f t="shared" si="104"/>
        <v>#N/A</v>
      </c>
      <c r="BU38" s="144">
        <f>SUMIFS(購入実績入力シート[購入数量],購入実績入力シート[対象月],'管理シート（本体）'!BT$8,購入実績入力シート[氏名],管理シート[[#This Row],[氏名]],購入実績入力シート[燃料別],管理シート[[#This Row],[燃料別]])</f>
        <v>0</v>
      </c>
      <c r="BV38" s="114" t="e">
        <f t="shared" si="105"/>
        <v>#N/A</v>
      </c>
      <c r="BW38" s="162" t="e">
        <f t="shared" si="106"/>
        <v>#N/A</v>
      </c>
      <c r="BX38" s="162" t="e">
        <f t="shared" si="107"/>
        <v>#N/A</v>
      </c>
      <c r="BY38" s="162" t="e">
        <f t="shared" si="108"/>
        <v>#N/A</v>
      </c>
      <c r="BZ38" s="142" t="e">
        <f t="shared" si="109"/>
        <v>#N/A</v>
      </c>
      <c r="CA38" s="144">
        <f>SUMIFS(購入実績入力シート[購入数量],購入実績入力シート[対象月],'管理シート（本体）'!BZ$8,購入実績入力シート[氏名],管理シート[[#This Row],[氏名]],購入実績入力シート[燃料別],管理シート[[#This Row],[燃料別]])</f>
        <v>0</v>
      </c>
      <c r="CB38" s="114" t="e">
        <f t="shared" si="110"/>
        <v>#N/A</v>
      </c>
      <c r="CC38" s="162" t="e">
        <f t="shared" si="39"/>
        <v>#N/A</v>
      </c>
      <c r="CD38" s="162" t="e">
        <f t="shared" si="111"/>
        <v>#N/A</v>
      </c>
      <c r="CE38" s="162" t="e">
        <f t="shared" si="112"/>
        <v>#N/A</v>
      </c>
      <c r="CF38" s="142" t="e">
        <f t="shared" si="113"/>
        <v>#N/A</v>
      </c>
      <c r="CG38" s="144">
        <f>SUMIFS(購入実績入力シート[購入数量],購入実績入力シート[対象月],'管理シート（本体）'!CF$8,購入実績入力シート[氏名],管理シート[[#This Row],[氏名]],購入実績入力シート[燃料別],管理シート[[#This Row],[燃料別]])</f>
        <v>0</v>
      </c>
      <c r="CH38" s="114" t="e">
        <f t="shared" si="114"/>
        <v>#N/A</v>
      </c>
      <c r="CI38" s="162" t="e">
        <f t="shared" si="115"/>
        <v>#N/A</v>
      </c>
      <c r="CJ38" s="162" t="e">
        <f t="shared" si="116"/>
        <v>#N/A</v>
      </c>
      <c r="CK38" s="162" t="e">
        <f t="shared" si="117"/>
        <v>#N/A</v>
      </c>
      <c r="CL38" s="142" t="e">
        <f t="shared" si="118"/>
        <v>#N/A</v>
      </c>
      <c r="CM38" s="144">
        <f>SUMIFS(購入実績入力シート[購入数量],購入実績入力シート[対象月],'管理シート（本体）'!CL$8,購入実績入力シート[氏名],管理シート[[#This Row],[氏名]],購入実績入力シート[燃料別],管理シート[[#This Row],[燃料別]])</f>
        <v>0</v>
      </c>
      <c r="CN38" s="114" t="e">
        <f t="shared" si="119"/>
        <v>#N/A</v>
      </c>
      <c r="CO38" s="162" t="e">
        <f t="shared" si="120"/>
        <v>#N/A</v>
      </c>
      <c r="CP38" s="162" t="e">
        <f t="shared" si="121"/>
        <v>#N/A</v>
      </c>
      <c r="CQ38" s="162" t="e">
        <f t="shared" si="122"/>
        <v>#N/A</v>
      </c>
      <c r="CR38" s="142" t="e">
        <f t="shared" si="123"/>
        <v>#N/A</v>
      </c>
      <c r="CS38" s="144">
        <f>SUMIFS(購入実績入力シート[購入数量],購入実績入力シート[対象月],'管理シート（本体）'!CR$8,購入実績入力シート[氏名],管理シート[[#This Row],[氏名]],購入実績入力シート[燃料別],管理シート[[#This Row],[燃料別]])</f>
        <v>0</v>
      </c>
      <c r="CT38" s="114" t="e">
        <f t="shared" si="124"/>
        <v>#N/A</v>
      </c>
      <c r="CU38" s="162" t="e">
        <f t="shared" si="125"/>
        <v>#N/A</v>
      </c>
      <c r="CV38" s="162" t="e">
        <f t="shared" si="126"/>
        <v>#N/A</v>
      </c>
      <c r="CW38" s="162" t="e">
        <f t="shared" si="127"/>
        <v>#N/A</v>
      </c>
      <c r="CX38" s="142" t="e">
        <f t="shared" si="128"/>
        <v>#N/A</v>
      </c>
      <c r="CY38" s="144">
        <f>SUMIFS(購入実績入力シート[購入数量],購入実績入力シート[対象月],'管理シート（本体）'!CX$8,購入実績入力シート[氏名],管理シート[[#This Row],[氏名]],購入実績入力シート[燃料別],管理シート[[#This Row],[燃料別]])</f>
        <v>0</v>
      </c>
      <c r="CZ38" s="114" t="e">
        <f t="shared" si="129"/>
        <v>#N/A</v>
      </c>
      <c r="DA38" s="162" t="e">
        <f t="shared" si="49"/>
        <v>#N/A</v>
      </c>
      <c r="DB38" s="162" t="e">
        <f t="shared" si="130"/>
        <v>#N/A</v>
      </c>
      <c r="DC38" s="162" t="e">
        <f t="shared" si="131"/>
        <v>#N/A</v>
      </c>
      <c r="DD38" s="108" t="e">
        <f t="shared" si="132"/>
        <v>#N/A</v>
      </c>
      <c r="DE38" s="108" t="e">
        <f t="shared" si="136"/>
        <v>#N/A</v>
      </c>
      <c r="DF38" s="190"/>
      <c r="DG38" s="174">
        <f t="shared" si="133"/>
        <v>0</v>
      </c>
    </row>
    <row r="39" spans="1:111" ht="19.95" customHeight="1">
      <c r="A39" s="176"/>
      <c r="B39" s="176"/>
      <c r="C39" s="176"/>
      <c r="D39" s="176"/>
      <c r="E39" s="176"/>
      <c r="F39" s="176"/>
      <c r="G39" s="176"/>
      <c r="H39" s="176"/>
      <c r="I39" s="90">
        <v>26</v>
      </c>
      <c r="J39" s="186"/>
      <c r="K39" s="91" t="s">
        <v>340</v>
      </c>
      <c r="L39" s="102"/>
      <c r="M39" s="268"/>
      <c r="N39" s="93"/>
      <c r="O39" s="90"/>
      <c r="P39" s="94"/>
      <c r="Q39" s="94"/>
      <c r="R39" s="6"/>
      <c r="S39" s="107">
        <f t="shared" si="86"/>
        <v>0</v>
      </c>
      <c r="T39" s="94"/>
      <c r="U39" s="11"/>
      <c r="V39" s="108">
        <f t="shared" si="87"/>
        <v>0</v>
      </c>
      <c r="W39" s="12"/>
      <c r="X39" s="109">
        <f t="shared" si="88"/>
        <v>0</v>
      </c>
      <c r="Y39" s="110">
        <f t="shared" si="89"/>
        <v>0</v>
      </c>
      <c r="Z39" s="95"/>
      <c r="AA39" s="95"/>
      <c r="AB39" s="95"/>
      <c r="AC39" s="95"/>
      <c r="AD39" s="95"/>
      <c r="AE39" s="95"/>
      <c r="AF39" s="94"/>
      <c r="AG39" s="111">
        <f t="shared" si="134"/>
        <v>0</v>
      </c>
      <c r="AH39" s="96"/>
      <c r="AI39" s="111">
        <f t="shared" si="135"/>
        <v>0</v>
      </c>
      <c r="AJ39" s="94"/>
      <c r="AK39" s="94"/>
      <c r="AL39" s="94"/>
      <c r="AM39" s="94"/>
      <c r="AN39" s="94"/>
      <c r="AO39" s="94"/>
      <c r="AP39" s="94"/>
      <c r="AQ39" s="97"/>
      <c r="AR39" s="94"/>
      <c r="AS39" s="94"/>
      <c r="AT39" s="94"/>
      <c r="AU39" s="94"/>
      <c r="AV39" s="97"/>
      <c r="AW39" s="97"/>
      <c r="AX39" s="94"/>
      <c r="AY39" s="94"/>
      <c r="AZ39" s="97"/>
      <c r="BA39" s="96"/>
      <c r="BB39" s="113" t="e">
        <f t="shared" si="90"/>
        <v>#N/A</v>
      </c>
      <c r="BC39" s="142">
        <f>SUMIFS(購入実績入力シート[購入数量],購入実績入力シート[対象月],'管理シート（本体）'!BB$8,購入実績入力シート[氏名],管理シート[[#This Row],[氏名]],購入実績入力シート[燃料別],管理シート[[#This Row],[燃料別]])</f>
        <v>0</v>
      </c>
      <c r="BD39" s="280" t="e">
        <f t="shared" si="91"/>
        <v>#N/A</v>
      </c>
      <c r="BE39" s="162" t="e">
        <f t="shared" si="92"/>
        <v>#N/A</v>
      </c>
      <c r="BF39" s="162" t="e">
        <f t="shared" si="93"/>
        <v>#N/A</v>
      </c>
      <c r="BG39" s="162" t="e">
        <f t="shared" si="94"/>
        <v>#N/A</v>
      </c>
      <c r="BH39" s="142" t="e">
        <f t="shared" si="95"/>
        <v>#N/A</v>
      </c>
      <c r="BI39" s="144">
        <f>SUMIFS(購入実績入力シート[購入数量],購入実績入力シート[対象月],'管理シート（本体）'!BH$8,購入実績入力シート[氏名],管理シート[[#This Row],[氏名]],購入実績入力シート[燃料別],管理シート[[#This Row],[燃料別]])</f>
        <v>0</v>
      </c>
      <c r="BJ39" s="280" t="e">
        <f t="shared" si="96"/>
        <v>#N/A</v>
      </c>
      <c r="BK39" s="162" t="e">
        <f t="shared" si="57"/>
        <v>#N/A</v>
      </c>
      <c r="BL39" s="162" t="e">
        <f t="shared" si="97"/>
        <v>#N/A</v>
      </c>
      <c r="BM39" s="162" t="e">
        <f t="shared" si="98"/>
        <v>#N/A</v>
      </c>
      <c r="BN39" s="142" t="e">
        <f t="shared" si="99"/>
        <v>#N/A</v>
      </c>
      <c r="BO39" s="144">
        <f>SUMIFS(購入実績入力シート[購入数量],購入実績入力シート[対象月],'管理シート（本体）'!BN$8,購入実績入力シート[氏名],管理シート[[#This Row],[氏名]],購入実績入力シート[燃料別],管理シート[[#This Row],[燃料別]])</f>
        <v>0</v>
      </c>
      <c r="BP39" s="280" t="e">
        <f t="shared" si="100"/>
        <v>#N/A</v>
      </c>
      <c r="BQ39" s="162" t="e">
        <f t="shared" si="101"/>
        <v>#N/A</v>
      </c>
      <c r="BR39" s="162" t="e">
        <f t="shared" si="102"/>
        <v>#N/A</v>
      </c>
      <c r="BS39" s="162" t="e">
        <f t="shared" si="103"/>
        <v>#N/A</v>
      </c>
      <c r="BT39" s="142" t="e">
        <f t="shared" si="104"/>
        <v>#N/A</v>
      </c>
      <c r="BU39" s="144">
        <f>SUMIFS(購入実績入力シート[購入数量],購入実績入力シート[対象月],'管理シート（本体）'!BT$8,購入実績入力シート[氏名],管理シート[[#This Row],[氏名]],購入実績入力シート[燃料別],管理シート[[#This Row],[燃料別]])</f>
        <v>0</v>
      </c>
      <c r="BV39" s="114" t="e">
        <f t="shared" si="105"/>
        <v>#N/A</v>
      </c>
      <c r="BW39" s="162" t="e">
        <f t="shared" si="106"/>
        <v>#N/A</v>
      </c>
      <c r="BX39" s="162" t="e">
        <f t="shared" si="107"/>
        <v>#N/A</v>
      </c>
      <c r="BY39" s="162" t="e">
        <f t="shared" si="108"/>
        <v>#N/A</v>
      </c>
      <c r="BZ39" s="142" t="e">
        <f t="shared" si="109"/>
        <v>#N/A</v>
      </c>
      <c r="CA39" s="144">
        <f>SUMIFS(購入実績入力シート[購入数量],購入実績入力シート[対象月],'管理シート（本体）'!BZ$8,購入実績入力シート[氏名],管理シート[[#This Row],[氏名]],購入実績入力シート[燃料別],管理シート[[#This Row],[燃料別]])</f>
        <v>0</v>
      </c>
      <c r="CB39" s="114" t="e">
        <f t="shared" si="110"/>
        <v>#N/A</v>
      </c>
      <c r="CC39" s="162" t="e">
        <f t="shared" si="39"/>
        <v>#N/A</v>
      </c>
      <c r="CD39" s="162" t="e">
        <f t="shared" si="111"/>
        <v>#N/A</v>
      </c>
      <c r="CE39" s="162" t="e">
        <f t="shared" si="112"/>
        <v>#N/A</v>
      </c>
      <c r="CF39" s="142" t="e">
        <f t="shared" si="113"/>
        <v>#N/A</v>
      </c>
      <c r="CG39" s="144">
        <f>SUMIFS(購入実績入力シート[購入数量],購入実績入力シート[対象月],'管理シート（本体）'!CF$8,購入実績入力シート[氏名],管理シート[[#This Row],[氏名]],購入実績入力シート[燃料別],管理シート[[#This Row],[燃料別]])</f>
        <v>0</v>
      </c>
      <c r="CH39" s="114" t="e">
        <f t="shared" si="114"/>
        <v>#N/A</v>
      </c>
      <c r="CI39" s="162" t="e">
        <f t="shared" si="115"/>
        <v>#N/A</v>
      </c>
      <c r="CJ39" s="162" t="e">
        <f t="shared" si="116"/>
        <v>#N/A</v>
      </c>
      <c r="CK39" s="162" t="e">
        <f t="shared" si="117"/>
        <v>#N/A</v>
      </c>
      <c r="CL39" s="142" t="e">
        <f t="shared" si="118"/>
        <v>#N/A</v>
      </c>
      <c r="CM39" s="144">
        <f>SUMIFS(購入実績入力シート[購入数量],購入実績入力シート[対象月],'管理シート（本体）'!CL$8,購入実績入力シート[氏名],管理シート[[#This Row],[氏名]],購入実績入力シート[燃料別],管理シート[[#This Row],[燃料別]])</f>
        <v>0</v>
      </c>
      <c r="CN39" s="114" t="e">
        <f t="shared" si="119"/>
        <v>#N/A</v>
      </c>
      <c r="CO39" s="162" t="e">
        <f t="shared" si="120"/>
        <v>#N/A</v>
      </c>
      <c r="CP39" s="162" t="e">
        <f t="shared" si="121"/>
        <v>#N/A</v>
      </c>
      <c r="CQ39" s="162" t="e">
        <f t="shared" si="122"/>
        <v>#N/A</v>
      </c>
      <c r="CR39" s="142" t="e">
        <f t="shared" si="123"/>
        <v>#N/A</v>
      </c>
      <c r="CS39" s="144">
        <f>SUMIFS(購入実績入力シート[購入数量],購入実績入力シート[対象月],'管理シート（本体）'!CR$8,購入実績入力シート[氏名],管理シート[[#This Row],[氏名]],購入実績入力シート[燃料別],管理シート[[#This Row],[燃料別]])</f>
        <v>0</v>
      </c>
      <c r="CT39" s="114" t="e">
        <f t="shared" si="124"/>
        <v>#N/A</v>
      </c>
      <c r="CU39" s="162" t="e">
        <f t="shared" si="125"/>
        <v>#N/A</v>
      </c>
      <c r="CV39" s="162" t="e">
        <f t="shared" si="126"/>
        <v>#N/A</v>
      </c>
      <c r="CW39" s="162" t="e">
        <f t="shared" si="127"/>
        <v>#N/A</v>
      </c>
      <c r="CX39" s="142" t="e">
        <f t="shared" si="128"/>
        <v>#N/A</v>
      </c>
      <c r="CY39" s="144">
        <f>SUMIFS(購入実績入力シート[購入数量],購入実績入力シート[対象月],'管理シート（本体）'!CX$8,購入実績入力シート[氏名],管理シート[[#This Row],[氏名]],購入実績入力シート[燃料別],管理シート[[#This Row],[燃料別]])</f>
        <v>0</v>
      </c>
      <c r="CZ39" s="114" t="e">
        <f t="shared" si="129"/>
        <v>#N/A</v>
      </c>
      <c r="DA39" s="162" t="e">
        <f t="shared" si="49"/>
        <v>#N/A</v>
      </c>
      <c r="DB39" s="162" t="e">
        <f t="shared" si="130"/>
        <v>#N/A</v>
      </c>
      <c r="DC39" s="162" t="e">
        <f t="shared" si="131"/>
        <v>#N/A</v>
      </c>
      <c r="DD39" s="108" t="e">
        <f t="shared" si="132"/>
        <v>#N/A</v>
      </c>
      <c r="DE39" s="108" t="e">
        <f t="shared" si="136"/>
        <v>#N/A</v>
      </c>
      <c r="DF39" s="190"/>
      <c r="DG39" s="174">
        <f t="shared" si="133"/>
        <v>0</v>
      </c>
    </row>
    <row r="40" spans="1:111" ht="19.95" customHeight="1">
      <c r="A40" s="176"/>
      <c r="B40" s="176"/>
      <c r="C40" s="176"/>
      <c r="D40" s="176"/>
      <c r="E40" s="176"/>
      <c r="F40" s="176"/>
      <c r="G40" s="176"/>
      <c r="H40" s="176"/>
      <c r="I40" s="90">
        <v>27</v>
      </c>
      <c r="J40" s="186"/>
      <c r="K40" s="91" t="s">
        <v>341</v>
      </c>
      <c r="L40" s="102"/>
      <c r="M40" s="268"/>
      <c r="N40" s="93"/>
      <c r="O40" s="90"/>
      <c r="P40" s="94"/>
      <c r="Q40" s="94"/>
      <c r="R40" s="6"/>
      <c r="S40" s="107">
        <f t="shared" si="86"/>
        <v>0</v>
      </c>
      <c r="T40" s="94"/>
      <c r="U40" s="11"/>
      <c r="V40" s="108">
        <f t="shared" si="87"/>
        <v>0</v>
      </c>
      <c r="W40" s="12"/>
      <c r="X40" s="109">
        <f t="shared" si="88"/>
        <v>0</v>
      </c>
      <c r="Y40" s="110">
        <f t="shared" si="89"/>
        <v>0</v>
      </c>
      <c r="Z40" s="95"/>
      <c r="AA40" s="95"/>
      <c r="AB40" s="95"/>
      <c r="AC40" s="95"/>
      <c r="AD40" s="95"/>
      <c r="AE40" s="95"/>
      <c r="AF40" s="94"/>
      <c r="AG40" s="111">
        <f t="shared" si="134"/>
        <v>0</v>
      </c>
      <c r="AH40" s="96"/>
      <c r="AI40" s="111">
        <f t="shared" si="135"/>
        <v>0</v>
      </c>
      <c r="AJ40" s="94"/>
      <c r="AK40" s="94"/>
      <c r="AL40" s="94"/>
      <c r="AM40" s="94"/>
      <c r="AN40" s="94"/>
      <c r="AO40" s="94"/>
      <c r="AP40" s="94"/>
      <c r="AQ40" s="97"/>
      <c r="AR40" s="94"/>
      <c r="AS40" s="94"/>
      <c r="AT40" s="94"/>
      <c r="AU40" s="94"/>
      <c r="AV40" s="97"/>
      <c r="AW40" s="97"/>
      <c r="AX40" s="94"/>
      <c r="AY40" s="94"/>
      <c r="AZ40" s="97"/>
      <c r="BA40" s="96"/>
      <c r="BB40" s="113" t="e">
        <f t="shared" si="90"/>
        <v>#N/A</v>
      </c>
      <c r="BC40" s="142">
        <f>SUMIFS(購入実績入力シート[購入数量],購入実績入力シート[対象月],'管理シート（本体）'!BB$8,購入実績入力シート[氏名],管理シート[[#This Row],[氏名]],購入実績入力シート[燃料別],管理シート[[#This Row],[燃料別]])</f>
        <v>0</v>
      </c>
      <c r="BD40" s="280" t="e">
        <f t="shared" si="91"/>
        <v>#N/A</v>
      </c>
      <c r="BE40" s="162" t="e">
        <f t="shared" si="92"/>
        <v>#N/A</v>
      </c>
      <c r="BF40" s="162" t="e">
        <f t="shared" si="93"/>
        <v>#N/A</v>
      </c>
      <c r="BG40" s="162" t="e">
        <f t="shared" si="94"/>
        <v>#N/A</v>
      </c>
      <c r="BH40" s="142" t="e">
        <f t="shared" si="95"/>
        <v>#N/A</v>
      </c>
      <c r="BI40" s="144">
        <f>SUMIFS(購入実績入力シート[購入数量],購入実績入力シート[対象月],'管理シート（本体）'!BH$8,購入実績入力シート[氏名],管理シート[[#This Row],[氏名]],購入実績入力シート[燃料別],管理シート[[#This Row],[燃料別]])</f>
        <v>0</v>
      </c>
      <c r="BJ40" s="280" t="e">
        <f t="shared" si="96"/>
        <v>#N/A</v>
      </c>
      <c r="BK40" s="162" t="e">
        <f t="shared" si="57"/>
        <v>#N/A</v>
      </c>
      <c r="BL40" s="162" t="e">
        <f t="shared" si="97"/>
        <v>#N/A</v>
      </c>
      <c r="BM40" s="162" t="e">
        <f t="shared" si="98"/>
        <v>#N/A</v>
      </c>
      <c r="BN40" s="142" t="e">
        <f t="shared" si="99"/>
        <v>#N/A</v>
      </c>
      <c r="BO40" s="144">
        <f>SUMIFS(購入実績入力シート[購入数量],購入実績入力シート[対象月],'管理シート（本体）'!BN$8,購入実績入力シート[氏名],管理シート[[#This Row],[氏名]],購入実績入力シート[燃料別],管理シート[[#This Row],[燃料別]])</f>
        <v>0</v>
      </c>
      <c r="BP40" s="280" t="e">
        <f t="shared" si="100"/>
        <v>#N/A</v>
      </c>
      <c r="BQ40" s="162" t="e">
        <f t="shared" si="101"/>
        <v>#N/A</v>
      </c>
      <c r="BR40" s="162" t="e">
        <f t="shared" si="102"/>
        <v>#N/A</v>
      </c>
      <c r="BS40" s="162" t="e">
        <f t="shared" si="103"/>
        <v>#N/A</v>
      </c>
      <c r="BT40" s="142" t="e">
        <f t="shared" si="104"/>
        <v>#N/A</v>
      </c>
      <c r="BU40" s="144">
        <f>SUMIFS(購入実績入力シート[購入数量],購入実績入力シート[対象月],'管理シート（本体）'!BT$8,購入実績入力シート[氏名],管理シート[[#This Row],[氏名]],購入実績入力シート[燃料別],管理シート[[#This Row],[燃料別]])</f>
        <v>0</v>
      </c>
      <c r="BV40" s="114" t="e">
        <f t="shared" si="105"/>
        <v>#N/A</v>
      </c>
      <c r="BW40" s="162" t="e">
        <f t="shared" si="106"/>
        <v>#N/A</v>
      </c>
      <c r="BX40" s="162" t="e">
        <f t="shared" si="107"/>
        <v>#N/A</v>
      </c>
      <c r="BY40" s="162" t="e">
        <f t="shared" si="108"/>
        <v>#N/A</v>
      </c>
      <c r="BZ40" s="142" t="e">
        <f t="shared" si="109"/>
        <v>#N/A</v>
      </c>
      <c r="CA40" s="144">
        <f>SUMIFS(購入実績入力シート[購入数量],購入実績入力シート[対象月],'管理シート（本体）'!BZ$8,購入実績入力シート[氏名],管理シート[[#This Row],[氏名]],購入実績入力シート[燃料別],管理シート[[#This Row],[燃料別]])</f>
        <v>0</v>
      </c>
      <c r="CB40" s="114" t="e">
        <f t="shared" si="110"/>
        <v>#N/A</v>
      </c>
      <c r="CC40" s="162" t="e">
        <f t="shared" si="39"/>
        <v>#N/A</v>
      </c>
      <c r="CD40" s="162" t="e">
        <f t="shared" si="111"/>
        <v>#N/A</v>
      </c>
      <c r="CE40" s="162" t="e">
        <f t="shared" si="112"/>
        <v>#N/A</v>
      </c>
      <c r="CF40" s="142" t="e">
        <f t="shared" si="113"/>
        <v>#N/A</v>
      </c>
      <c r="CG40" s="144">
        <f>SUMIFS(購入実績入力シート[購入数量],購入実績入力シート[対象月],'管理シート（本体）'!CF$8,購入実績入力シート[氏名],管理シート[[#This Row],[氏名]],購入実績入力シート[燃料別],管理シート[[#This Row],[燃料別]])</f>
        <v>0</v>
      </c>
      <c r="CH40" s="114" t="e">
        <f t="shared" si="114"/>
        <v>#N/A</v>
      </c>
      <c r="CI40" s="162" t="e">
        <f t="shared" si="115"/>
        <v>#N/A</v>
      </c>
      <c r="CJ40" s="162" t="e">
        <f t="shared" si="116"/>
        <v>#N/A</v>
      </c>
      <c r="CK40" s="162" t="e">
        <f t="shared" si="117"/>
        <v>#N/A</v>
      </c>
      <c r="CL40" s="142" t="e">
        <f t="shared" si="118"/>
        <v>#N/A</v>
      </c>
      <c r="CM40" s="144">
        <f>SUMIFS(購入実績入力シート[購入数量],購入実績入力シート[対象月],'管理シート（本体）'!CL$8,購入実績入力シート[氏名],管理シート[[#This Row],[氏名]],購入実績入力シート[燃料別],管理シート[[#This Row],[燃料別]])</f>
        <v>0</v>
      </c>
      <c r="CN40" s="114" t="e">
        <f t="shared" si="119"/>
        <v>#N/A</v>
      </c>
      <c r="CO40" s="162" t="e">
        <f t="shared" si="120"/>
        <v>#N/A</v>
      </c>
      <c r="CP40" s="162" t="e">
        <f t="shared" si="121"/>
        <v>#N/A</v>
      </c>
      <c r="CQ40" s="162" t="e">
        <f t="shared" si="122"/>
        <v>#N/A</v>
      </c>
      <c r="CR40" s="142" t="e">
        <f t="shared" si="123"/>
        <v>#N/A</v>
      </c>
      <c r="CS40" s="144">
        <f>SUMIFS(購入実績入力シート[購入数量],購入実績入力シート[対象月],'管理シート（本体）'!CR$8,購入実績入力シート[氏名],管理シート[[#This Row],[氏名]],購入実績入力シート[燃料別],管理シート[[#This Row],[燃料別]])</f>
        <v>0</v>
      </c>
      <c r="CT40" s="114" t="e">
        <f t="shared" si="124"/>
        <v>#N/A</v>
      </c>
      <c r="CU40" s="162" t="e">
        <f t="shared" si="125"/>
        <v>#N/A</v>
      </c>
      <c r="CV40" s="162" t="e">
        <f t="shared" si="126"/>
        <v>#N/A</v>
      </c>
      <c r="CW40" s="162" t="e">
        <f t="shared" si="127"/>
        <v>#N/A</v>
      </c>
      <c r="CX40" s="142" t="e">
        <f t="shared" si="128"/>
        <v>#N/A</v>
      </c>
      <c r="CY40" s="144">
        <f>SUMIFS(購入実績入力シート[購入数量],購入実績入力シート[対象月],'管理シート（本体）'!CX$8,購入実績入力シート[氏名],管理シート[[#This Row],[氏名]],購入実績入力シート[燃料別],管理シート[[#This Row],[燃料別]])</f>
        <v>0</v>
      </c>
      <c r="CZ40" s="114" t="e">
        <f t="shared" si="129"/>
        <v>#N/A</v>
      </c>
      <c r="DA40" s="162" t="e">
        <f t="shared" si="49"/>
        <v>#N/A</v>
      </c>
      <c r="DB40" s="162" t="e">
        <f t="shared" si="130"/>
        <v>#N/A</v>
      </c>
      <c r="DC40" s="162" t="e">
        <f t="shared" si="131"/>
        <v>#N/A</v>
      </c>
      <c r="DD40" s="108" t="e">
        <f t="shared" si="132"/>
        <v>#N/A</v>
      </c>
      <c r="DE40" s="108" t="e">
        <f t="shared" si="136"/>
        <v>#N/A</v>
      </c>
      <c r="DF40" s="190"/>
      <c r="DG40" s="174">
        <f t="shared" si="133"/>
        <v>0</v>
      </c>
    </row>
    <row r="41" spans="1:111" ht="19.95" customHeight="1">
      <c r="A41" s="176"/>
      <c r="B41" s="176"/>
      <c r="C41" s="176"/>
      <c r="D41" s="176"/>
      <c r="E41" s="176"/>
      <c r="F41" s="176"/>
      <c r="G41" s="176"/>
      <c r="H41" s="176"/>
      <c r="I41" s="255">
        <v>28</v>
      </c>
      <c r="J41" s="186"/>
      <c r="K41" s="91" t="s">
        <v>342</v>
      </c>
      <c r="L41" s="102"/>
      <c r="M41" s="268"/>
      <c r="N41" s="93"/>
      <c r="O41" s="90"/>
      <c r="P41" s="94"/>
      <c r="Q41" s="94"/>
      <c r="R41" s="6"/>
      <c r="S41" s="107">
        <f t="shared" si="86"/>
        <v>0</v>
      </c>
      <c r="T41" s="94"/>
      <c r="U41" s="11"/>
      <c r="V41" s="108">
        <f t="shared" si="87"/>
        <v>0</v>
      </c>
      <c r="W41" s="12"/>
      <c r="X41" s="109">
        <f t="shared" si="88"/>
        <v>0</v>
      </c>
      <c r="Y41" s="110">
        <f t="shared" si="89"/>
        <v>0</v>
      </c>
      <c r="Z41" s="95"/>
      <c r="AA41" s="95"/>
      <c r="AB41" s="95"/>
      <c r="AC41" s="95"/>
      <c r="AD41" s="95"/>
      <c r="AE41" s="95"/>
      <c r="AF41" s="94"/>
      <c r="AG41" s="111">
        <f t="shared" si="134"/>
        <v>0</v>
      </c>
      <c r="AH41" s="96"/>
      <c r="AI41" s="111">
        <f t="shared" si="135"/>
        <v>0</v>
      </c>
      <c r="AJ41" s="94"/>
      <c r="AK41" s="94"/>
      <c r="AL41" s="94"/>
      <c r="AM41" s="94"/>
      <c r="AN41" s="94"/>
      <c r="AO41" s="94"/>
      <c r="AP41" s="94"/>
      <c r="AQ41" s="97"/>
      <c r="AR41" s="94"/>
      <c r="AS41" s="94"/>
      <c r="AT41" s="94"/>
      <c r="AU41" s="94"/>
      <c r="AV41" s="97"/>
      <c r="AW41" s="97"/>
      <c r="AX41" s="94"/>
      <c r="AY41" s="94"/>
      <c r="AZ41" s="97"/>
      <c r="BA41" s="96"/>
      <c r="BB41" s="113" t="e">
        <f t="shared" si="90"/>
        <v>#N/A</v>
      </c>
      <c r="BC41" s="142">
        <f>SUMIFS(購入実績入力シート[購入数量],購入実績入力シート[対象月],'管理シート（本体）'!BB$8,購入実績入力シート[氏名],管理シート[[#This Row],[氏名]],購入実績入力シート[燃料別],管理シート[[#This Row],[燃料別]])</f>
        <v>0</v>
      </c>
      <c r="BD41" s="280" t="e">
        <f t="shared" si="91"/>
        <v>#N/A</v>
      </c>
      <c r="BE41" s="162" t="e">
        <f t="shared" si="92"/>
        <v>#N/A</v>
      </c>
      <c r="BF41" s="162" t="e">
        <f t="shared" si="93"/>
        <v>#N/A</v>
      </c>
      <c r="BG41" s="162" t="e">
        <f t="shared" si="94"/>
        <v>#N/A</v>
      </c>
      <c r="BH41" s="142" t="e">
        <f t="shared" si="95"/>
        <v>#N/A</v>
      </c>
      <c r="BI41" s="144">
        <f>SUMIFS(購入実績入力シート[購入数量],購入実績入力シート[対象月],'管理シート（本体）'!BH$8,購入実績入力シート[氏名],管理シート[[#This Row],[氏名]],購入実績入力シート[燃料別],管理シート[[#This Row],[燃料別]])</f>
        <v>0</v>
      </c>
      <c r="BJ41" s="280" t="e">
        <f t="shared" si="96"/>
        <v>#N/A</v>
      </c>
      <c r="BK41" s="162" t="e">
        <f t="shared" si="57"/>
        <v>#N/A</v>
      </c>
      <c r="BL41" s="162" t="e">
        <f t="shared" si="97"/>
        <v>#N/A</v>
      </c>
      <c r="BM41" s="162" t="e">
        <f t="shared" si="98"/>
        <v>#N/A</v>
      </c>
      <c r="BN41" s="142" t="e">
        <f t="shared" si="99"/>
        <v>#N/A</v>
      </c>
      <c r="BO41" s="144">
        <f>SUMIFS(購入実績入力シート[購入数量],購入実績入力シート[対象月],'管理シート（本体）'!BN$8,購入実績入力シート[氏名],管理シート[[#This Row],[氏名]],購入実績入力シート[燃料別],管理シート[[#This Row],[燃料別]])</f>
        <v>0</v>
      </c>
      <c r="BP41" s="280" t="e">
        <f t="shared" si="100"/>
        <v>#N/A</v>
      </c>
      <c r="BQ41" s="162" t="e">
        <f t="shared" si="101"/>
        <v>#N/A</v>
      </c>
      <c r="BR41" s="162" t="e">
        <f t="shared" si="102"/>
        <v>#N/A</v>
      </c>
      <c r="BS41" s="162" t="e">
        <f t="shared" si="103"/>
        <v>#N/A</v>
      </c>
      <c r="BT41" s="142" t="e">
        <f t="shared" si="104"/>
        <v>#N/A</v>
      </c>
      <c r="BU41" s="144">
        <f>SUMIFS(購入実績入力シート[購入数量],購入実績入力シート[対象月],'管理シート（本体）'!BT$8,購入実績入力シート[氏名],管理シート[[#This Row],[氏名]],購入実績入力シート[燃料別],管理シート[[#This Row],[燃料別]])</f>
        <v>0</v>
      </c>
      <c r="BV41" s="114" t="e">
        <f t="shared" si="105"/>
        <v>#N/A</v>
      </c>
      <c r="BW41" s="162" t="e">
        <f t="shared" si="106"/>
        <v>#N/A</v>
      </c>
      <c r="BX41" s="162" t="e">
        <f t="shared" si="107"/>
        <v>#N/A</v>
      </c>
      <c r="BY41" s="162" t="e">
        <f t="shared" si="108"/>
        <v>#N/A</v>
      </c>
      <c r="BZ41" s="142" t="e">
        <f t="shared" si="109"/>
        <v>#N/A</v>
      </c>
      <c r="CA41" s="144">
        <f>SUMIFS(購入実績入力シート[購入数量],購入実績入力シート[対象月],'管理シート（本体）'!BZ$8,購入実績入力シート[氏名],管理シート[[#This Row],[氏名]],購入実績入力シート[燃料別],管理シート[[#This Row],[燃料別]])</f>
        <v>0</v>
      </c>
      <c r="CB41" s="114" t="e">
        <f t="shared" si="110"/>
        <v>#N/A</v>
      </c>
      <c r="CC41" s="162" t="e">
        <f t="shared" si="39"/>
        <v>#N/A</v>
      </c>
      <c r="CD41" s="162" t="e">
        <f t="shared" si="111"/>
        <v>#N/A</v>
      </c>
      <c r="CE41" s="162" t="e">
        <f t="shared" si="112"/>
        <v>#N/A</v>
      </c>
      <c r="CF41" s="142" t="e">
        <f t="shared" si="113"/>
        <v>#N/A</v>
      </c>
      <c r="CG41" s="144">
        <f>SUMIFS(購入実績入力シート[購入数量],購入実績入力シート[対象月],'管理シート（本体）'!CF$8,購入実績入力シート[氏名],管理シート[[#This Row],[氏名]],購入実績入力シート[燃料別],管理シート[[#This Row],[燃料別]])</f>
        <v>0</v>
      </c>
      <c r="CH41" s="114" t="e">
        <f t="shared" si="114"/>
        <v>#N/A</v>
      </c>
      <c r="CI41" s="162" t="e">
        <f t="shared" si="115"/>
        <v>#N/A</v>
      </c>
      <c r="CJ41" s="162" t="e">
        <f t="shared" si="116"/>
        <v>#N/A</v>
      </c>
      <c r="CK41" s="162" t="e">
        <f t="shared" si="117"/>
        <v>#N/A</v>
      </c>
      <c r="CL41" s="142" t="e">
        <f t="shared" si="118"/>
        <v>#N/A</v>
      </c>
      <c r="CM41" s="144">
        <f>SUMIFS(購入実績入力シート[購入数量],購入実績入力シート[対象月],'管理シート（本体）'!CL$8,購入実績入力シート[氏名],管理シート[[#This Row],[氏名]],購入実績入力シート[燃料別],管理シート[[#This Row],[燃料別]])</f>
        <v>0</v>
      </c>
      <c r="CN41" s="114" t="e">
        <f t="shared" si="119"/>
        <v>#N/A</v>
      </c>
      <c r="CO41" s="162" t="e">
        <f t="shared" si="120"/>
        <v>#N/A</v>
      </c>
      <c r="CP41" s="162" t="e">
        <f t="shared" si="121"/>
        <v>#N/A</v>
      </c>
      <c r="CQ41" s="162" t="e">
        <f t="shared" si="122"/>
        <v>#N/A</v>
      </c>
      <c r="CR41" s="142" t="e">
        <f t="shared" si="123"/>
        <v>#N/A</v>
      </c>
      <c r="CS41" s="144">
        <f>SUMIFS(購入実績入力シート[購入数量],購入実績入力シート[対象月],'管理シート（本体）'!CR$8,購入実績入力シート[氏名],管理シート[[#This Row],[氏名]],購入実績入力シート[燃料別],管理シート[[#This Row],[燃料別]])</f>
        <v>0</v>
      </c>
      <c r="CT41" s="114" t="e">
        <f t="shared" si="124"/>
        <v>#N/A</v>
      </c>
      <c r="CU41" s="162" t="e">
        <f t="shared" si="125"/>
        <v>#N/A</v>
      </c>
      <c r="CV41" s="162" t="e">
        <f t="shared" si="126"/>
        <v>#N/A</v>
      </c>
      <c r="CW41" s="162" t="e">
        <f t="shared" si="127"/>
        <v>#N/A</v>
      </c>
      <c r="CX41" s="142" t="e">
        <f t="shared" si="128"/>
        <v>#N/A</v>
      </c>
      <c r="CY41" s="144">
        <f>SUMIFS(購入実績入力シート[購入数量],購入実績入力シート[対象月],'管理シート（本体）'!CX$8,購入実績入力シート[氏名],管理シート[[#This Row],[氏名]],購入実績入力シート[燃料別],管理シート[[#This Row],[燃料別]])</f>
        <v>0</v>
      </c>
      <c r="CZ41" s="114" t="e">
        <f t="shared" si="129"/>
        <v>#N/A</v>
      </c>
      <c r="DA41" s="162" t="e">
        <f t="shared" si="49"/>
        <v>#N/A</v>
      </c>
      <c r="DB41" s="162" t="e">
        <f t="shared" si="130"/>
        <v>#N/A</v>
      </c>
      <c r="DC41" s="162" t="e">
        <f t="shared" si="131"/>
        <v>#N/A</v>
      </c>
      <c r="DD41" s="108" t="e">
        <f t="shared" si="132"/>
        <v>#N/A</v>
      </c>
      <c r="DE41" s="108" t="e">
        <f t="shared" si="136"/>
        <v>#N/A</v>
      </c>
      <c r="DF41" s="190"/>
      <c r="DG41" s="174">
        <f t="shared" si="133"/>
        <v>0</v>
      </c>
    </row>
    <row r="42" spans="1:111" ht="19.95" customHeight="1">
      <c r="A42" s="176"/>
      <c r="B42" s="176"/>
      <c r="C42" s="176"/>
      <c r="D42" s="176"/>
      <c r="E42" s="176"/>
      <c r="F42" s="176"/>
      <c r="G42" s="176"/>
      <c r="H42" s="176"/>
      <c r="I42" s="90">
        <v>29</v>
      </c>
      <c r="J42" s="186"/>
      <c r="K42" s="91" t="s">
        <v>343</v>
      </c>
      <c r="L42" s="102"/>
      <c r="M42" s="268"/>
      <c r="N42" s="93"/>
      <c r="O42" s="90"/>
      <c r="P42" s="94"/>
      <c r="Q42" s="94"/>
      <c r="R42" s="6"/>
      <c r="S42" s="107">
        <f t="shared" si="86"/>
        <v>0</v>
      </c>
      <c r="T42" s="94"/>
      <c r="U42" s="11"/>
      <c r="V42" s="108">
        <f t="shared" si="87"/>
        <v>0</v>
      </c>
      <c r="W42" s="12"/>
      <c r="X42" s="109">
        <f t="shared" si="88"/>
        <v>0</v>
      </c>
      <c r="Y42" s="110">
        <f t="shared" si="89"/>
        <v>0</v>
      </c>
      <c r="Z42" s="95"/>
      <c r="AA42" s="95"/>
      <c r="AB42" s="95"/>
      <c r="AC42" s="95"/>
      <c r="AD42" s="95"/>
      <c r="AE42" s="95"/>
      <c r="AF42" s="94"/>
      <c r="AG42" s="111">
        <f t="shared" si="134"/>
        <v>0</v>
      </c>
      <c r="AH42" s="96"/>
      <c r="AI42" s="111">
        <f t="shared" si="135"/>
        <v>0</v>
      </c>
      <c r="AJ42" s="94"/>
      <c r="AK42" s="94"/>
      <c r="AL42" s="94"/>
      <c r="AM42" s="94"/>
      <c r="AN42" s="94"/>
      <c r="AO42" s="94"/>
      <c r="AP42" s="94"/>
      <c r="AQ42" s="97"/>
      <c r="AR42" s="94"/>
      <c r="AS42" s="94"/>
      <c r="AT42" s="94"/>
      <c r="AU42" s="94"/>
      <c r="AV42" s="97"/>
      <c r="AW42" s="97"/>
      <c r="AX42" s="94"/>
      <c r="AY42" s="94"/>
      <c r="AZ42" s="97"/>
      <c r="BA42" s="96"/>
      <c r="BB42" s="113" t="e">
        <f t="shared" si="90"/>
        <v>#N/A</v>
      </c>
      <c r="BC42" s="142">
        <f>SUMIFS(購入実績入力シート[購入数量],購入実績入力シート[対象月],'管理シート（本体）'!BB$8,購入実績入力シート[氏名],管理シート[[#This Row],[氏名]],購入実績入力シート[燃料別],管理シート[[#This Row],[燃料別]])</f>
        <v>0</v>
      </c>
      <c r="BD42" s="280" t="e">
        <f t="shared" si="91"/>
        <v>#N/A</v>
      </c>
      <c r="BE42" s="162" t="e">
        <f t="shared" si="92"/>
        <v>#N/A</v>
      </c>
      <c r="BF42" s="162" t="e">
        <f t="shared" si="93"/>
        <v>#N/A</v>
      </c>
      <c r="BG42" s="162" t="e">
        <f t="shared" si="94"/>
        <v>#N/A</v>
      </c>
      <c r="BH42" s="142" t="e">
        <f t="shared" si="95"/>
        <v>#N/A</v>
      </c>
      <c r="BI42" s="144">
        <f>SUMIFS(購入実績入力シート[購入数量],購入実績入力シート[対象月],'管理シート（本体）'!BH$8,購入実績入力シート[氏名],管理シート[[#This Row],[氏名]],購入実績入力シート[燃料別],管理シート[[#This Row],[燃料別]])</f>
        <v>0</v>
      </c>
      <c r="BJ42" s="280" t="e">
        <f t="shared" si="96"/>
        <v>#N/A</v>
      </c>
      <c r="BK42" s="162" t="e">
        <f t="shared" si="57"/>
        <v>#N/A</v>
      </c>
      <c r="BL42" s="162" t="e">
        <f t="shared" si="97"/>
        <v>#N/A</v>
      </c>
      <c r="BM42" s="162" t="e">
        <f t="shared" si="98"/>
        <v>#N/A</v>
      </c>
      <c r="BN42" s="142" t="e">
        <f t="shared" si="99"/>
        <v>#N/A</v>
      </c>
      <c r="BO42" s="144">
        <f>SUMIFS(購入実績入力シート[購入数量],購入実績入力シート[対象月],'管理シート（本体）'!BN$8,購入実績入力シート[氏名],管理シート[[#This Row],[氏名]],購入実績入力シート[燃料別],管理シート[[#This Row],[燃料別]])</f>
        <v>0</v>
      </c>
      <c r="BP42" s="280" t="e">
        <f t="shared" si="100"/>
        <v>#N/A</v>
      </c>
      <c r="BQ42" s="162" t="e">
        <f t="shared" si="101"/>
        <v>#N/A</v>
      </c>
      <c r="BR42" s="162" t="e">
        <f t="shared" si="102"/>
        <v>#N/A</v>
      </c>
      <c r="BS42" s="162" t="e">
        <f t="shared" si="103"/>
        <v>#N/A</v>
      </c>
      <c r="BT42" s="142" t="e">
        <f t="shared" si="104"/>
        <v>#N/A</v>
      </c>
      <c r="BU42" s="144">
        <f>SUMIFS(購入実績入力シート[購入数量],購入実績入力シート[対象月],'管理シート（本体）'!BT$8,購入実績入力シート[氏名],管理シート[[#This Row],[氏名]],購入実績入力シート[燃料別],管理シート[[#This Row],[燃料別]])</f>
        <v>0</v>
      </c>
      <c r="BV42" s="114" t="e">
        <f t="shared" si="105"/>
        <v>#N/A</v>
      </c>
      <c r="BW42" s="162" t="e">
        <f t="shared" si="106"/>
        <v>#N/A</v>
      </c>
      <c r="BX42" s="162" t="e">
        <f t="shared" si="107"/>
        <v>#N/A</v>
      </c>
      <c r="BY42" s="162" t="e">
        <f t="shared" si="108"/>
        <v>#N/A</v>
      </c>
      <c r="BZ42" s="142" t="e">
        <f t="shared" si="109"/>
        <v>#N/A</v>
      </c>
      <c r="CA42" s="144">
        <f>SUMIFS(購入実績入力シート[購入数量],購入実績入力シート[対象月],'管理シート（本体）'!BZ$8,購入実績入力シート[氏名],管理シート[[#This Row],[氏名]],購入実績入力シート[燃料別],管理シート[[#This Row],[燃料別]])</f>
        <v>0</v>
      </c>
      <c r="CB42" s="114" t="e">
        <f t="shared" si="110"/>
        <v>#N/A</v>
      </c>
      <c r="CC42" s="162" t="e">
        <f t="shared" si="39"/>
        <v>#N/A</v>
      </c>
      <c r="CD42" s="162" t="e">
        <f t="shared" si="111"/>
        <v>#N/A</v>
      </c>
      <c r="CE42" s="162" t="e">
        <f t="shared" si="112"/>
        <v>#N/A</v>
      </c>
      <c r="CF42" s="142" t="e">
        <f t="shared" si="113"/>
        <v>#N/A</v>
      </c>
      <c r="CG42" s="144">
        <f>SUMIFS(購入実績入力シート[購入数量],購入実績入力シート[対象月],'管理シート（本体）'!CF$8,購入実績入力シート[氏名],管理シート[[#This Row],[氏名]],購入実績入力シート[燃料別],管理シート[[#This Row],[燃料別]])</f>
        <v>0</v>
      </c>
      <c r="CH42" s="114" t="e">
        <f t="shared" si="114"/>
        <v>#N/A</v>
      </c>
      <c r="CI42" s="162" t="e">
        <f t="shared" si="115"/>
        <v>#N/A</v>
      </c>
      <c r="CJ42" s="162" t="e">
        <f t="shared" si="116"/>
        <v>#N/A</v>
      </c>
      <c r="CK42" s="162" t="e">
        <f t="shared" si="117"/>
        <v>#N/A</v>
      </c>
      <c r="CL42" s="142" t="e">
        <f t="shared" si="118"/>
        <v>#N/A</v>
      </c>
      <c r="CM42" s="144">
        <f>SUMIFS(購入実績入力シート[購入数量],購入実績入力シート[対象月],'管理シート（本体）'!CL$8,購入実績入力シート[氏名],管理シート[[#This Row],[氏名]],購入実績入力シート[燃料別],管理シート[[#This Row],[燃料別]])</f>
        <v>0</v>
      </c>
      <c r="CN42" s="114" t="e">
        <f t="shared" si="119"/>
        <v>#N/A</v>
      </c>
      <c r="CO42" s="162" t="e">
        <f t="shared" si="120"/>
        <v>#N/A</v>
      </c>
      <c r="CP42" s="162" t="e">
        <f t="shared" si="121"/>
        <v>#N/A</v>
      </c>
      <c r="CQ42" s="162" t="e">
        <f t="shared" si="122"/>
        <v>#N/A</v>
      </c>
      <c r="CR42" s="142" t="e">
        <f t="shared" si="123"/>
        <v>#N/A</v>
      </c>
      <c r="CS42" s="144">
        <f>SUMIFS(購入実績入力シート[購入数量],購入実績入力シート[対象月],'管理シート（本体）'!CR$8,購入実績入力シート[氏名],管理シート[[#This Row],[氏名]],購入実績入力シート[燃料別],管理シート[[#This Row],[燃料別]])</f>
        <v>0</v>
      </c>
      <c r="CT42" s="114" t="e">
        <f t="shared" si="124"/>
        <v>#N/A</v>
      </c>
      <c r="CU42" s="162" t="e">
        <f t="shared" si="125"/>
        <v>#N/A</v>
      </c>
      <c r="CV42" s="162" t="e">
        <f t="shared" si="126"/>
        <v>#N/A</v>
      </c>
      <c r="CW42" s="162" t="e">
        <f t="shared" si="127"/>
        <v>#N/A</v>
      </c>
      <c r="CX42" s="142" t="e">
        <f t="shared" si="128"/>
        <v>#N/A</v>
      </c>
      <c r="CY42" s="144">
        <f>SUMIFS(購入実績入力シート[購入数量],購入実績入力シート[対象月],'管理シート（本体）'!CX$8,購入実績入力シート[氏名],管理シート[[#This Row],[氏名]],購入実績入力シート[燃料別],管理シート[[#This Row],[燃料別]])</f>
        <v>0</v>
      </c>
      <c r="CZ42" s="114" t="e">
        <f t="shared" si="129"/>
        <v>#N/A</v>
      </c>
      <c r="DA42" s="162" t="e">
        <f t="shared" si="49"/>
        <v>#N/A</v>
      </c>
      <c r="DB42" s="162" t="e">
        <f t="shared" si="130"/>
        <v>#N/A</v>
      </c>
      <c r="DC42" s="162" t="e">
        <f t="shared" si="131"/>
        <v>#N/A</v>
      </c>
      <c r="DD42" s="108" t="e">
        <f t="shared" si="132"/>
        <v>#N/A</v>
      </c>
      <c r="DE42" s="108" t="e">
        <f t="shared" si="136"/>
        <v>#N/A</v>
      </c>
      <c r="DF42" s="190"/>
      <c r="DG42" s="174">
        <f t="shared" si="133"/>
        <v>0</v>
      </c>
    </row>
    <row r="43" spans="1:111" ht="19.95" customHeight="1">
      <c r="A43" s="176"/>
      <c r="B43" s="176"/>
      <c r="C43" s="176"/>
      <c r="D43" s="176"/>
      <c r="E43" s="176"/>
      <c r="F43" s="176"/>
      <c r="G43" s="176"/>
      <c r="H43" s="176"/>
      <c r="I43" s="90">
        <v>30</v>
      </c>
      <c r="J43" s="186"/>
      <c r="K43" s="91" t="s">
        <v>344</v>
      </c>
      <c r="L43" s="102"/>
      <c r="M43" s="268"/>
      <c r="N43" s="93"/>
      <c r="O43" s="90"/>
      <c r="P43" s="94"/>
      <c r="Q43" s="94"/>
      <c r="R43" s="6"/>
      <c r="S43" s="107">
        <f t="shared" si="86"/>
        <v>0</v>
      </c>
      <c r="T43" s="94"/>
      <c r="U43" s="11"/>
      <c r="V43" s="108">
        <f t="shared" si="87"/>
        <v>0</v>
      </c>
      <c r="W43" s="12"/>
      <c r="X43" s="109">
        <f t="shared" si="88"/>
        <v>0</v>
      </c>
      <c r="Y43" s="110">
        <f t="shared" si="89"/>
        <v>0</v>
      </c>
      <c r="Z43" s="95"/>
      <c r="AA43" s="95"/>
      <c r="AB43" s="95"/>
      <c r="AC43" s="95"/>
      <c r="AD43" s="95"/>
      <c r="AE43" s="95"/>
      <c r="AF43" s="94"/>
      <c r="AG43" s="111">
        <f t="shared" si="134"/>
        <v>0</v>
      </c>
      <c r="AH43" s="96"/>
      <c r="AI43" s="111">
        <f t="shared" si="135"/>
        <v>0</v>
      </c>
      <c r="AJ43" s="94"/>
      <c r="AK43" s="94"/>
      <c r="AL43" s="94"/>
      <c r="AM43" s="94"/>
      <c r="AN43" s="94"/>
      <c r="AO43" s="94"/>
      <c r="AP43" s="94"/>
      <c r="AQ43" s="97"/>
      <c r="AR43" s="94"/>
      <c r="AS43" s="94"/>
      <c r="AT43" s="94"/>
      <c r="AU43" s="94"/>
      <c r="AV43" s="97"/>
      <c r="AW43" s="97"/>
      <c r="AX43" s="94"/>
      <c r="AY43" s="94"/>
      <c r="AZ43" s="97"/>
      <c r="BA43" s="96"/>
      <c r="BB43" s="113" t="e">
        <f t="shared" si="90"/>
        <v>#N/A</v>
      </c>
      <c r="BC43" s="142">
        <f>SUMIFS(購入実績入力シート[購入数量],購入実績入力シート[対象月],'管理シート（本体）'!BB$8,購入実績入力シート[氏名],管理シート[[#This Row],[氏名]],購入実績入力シート[燃料別],管理シート[[#This Row],[燃料別]])</f>
        <v>0</v>
      </c>
      <c r="BD43" s="280" t="e">
        <f t="shared" si="91"/>
        <v>#N/A</v>
      </c>
      <c r="BE43" s="162" t="e">
        <f t="shared" si="92"/>
        <v>#N/A</v>
      </c>
      <c r="BF43" s="162" t="e">
        <f t="shared" si="93"/>
        <v>#N/A</v>
      </c>
      <c r="BG43" s="162" t="e">
        <f t="shared" si="94"/>
        <v>#N/A</v>
      </c>
      <c r="BH43" s="142" t="e">
        <f t="shared" si="95"/>
        <v>#N/A</v>
      </c>
      <c r="BI43" s="144">
        <f>SUMIFS(購入実績入力シート[購入数量],購入実績入力シート[対象月],'管理シート（本体）'!BH$8,購入実績入力シート[氏名],管理シート[[#This Row],[氏名]],購入実績入力シート[燃料別],管理シート[[#This Row],[燃料別]])</f>
        <v>0</v>
      </c>
      <c r="BJ43" s="280" t="e">
        <f t="shared" si="96"/>
        <v>#N/A</v>
      </c>
      <c r="BK43" s="162" t="e">
        <f t="shared" si="57"/>
        <v>#N/A</v>
      </c>
      <c r="BL43" s="162" t="e">
        <f t="shared" si="97"/>
        <v>#N/A</v>
      </c>
      <c r="BM43" s="162" t="e">
        <f t="shared" si="98"/>
        <v>#N/A</v>
      </c>
      <c r="BN43" s="142" t="e">
        <f t="shared" si="99"/>
        <v>#N/A</v>
      </c>
      <c r="BO43" s="144">
        <f>SUMIFS(購入実績入力シート[購入数量],購入実績入力シート[対象月],'管理シート（本体）'!BN$8,購入実績入力シート[氏名],管理シート[[#This Row],[氏名]],購入実績入力シート[燃料別],管理シート[[#This Row],[燃料別]])</f>
        <v>0</v>
      </c>
      <c r="BP43" s="280" t="e">
        <f t="shared" si="100"/>
        <v>#N/A</v>
      </c>
      <c r="BQ43" s="162" t="e">
        <f t="shared" si="101"/>
        <v>#N/A</v>
      </c>
      <c r="BR43" s="162" t="e">
        <f t="shared" si="102"/>
        <v>#N/A</v>
      </c>
      <c r="BS43" s="162" t="e">
        <f t="shared" si="103"/>
        <v>#N/A</v>
      </c>
      <c r="BT43" s="142" t="e">
        <f t="shared" si="104"/>
        <v>#N/A</v>
      </c>
      <c r="BU43" s="144">
        <f>SUMIFS(購入実績入力シート[購入数量],購入実績入力シート[対象月],'管理シート（本体）'!BT$8,購入実績入力シート[氏名],管理シート[[#This Row],[氏名]],購入実績入力シート[燃料別],管理シート[[#This Row],[燃料別]])</f>
        <v>0</v>
      </c>
      <c r="BV43" s="114" t="e">
        <f t="shared" si="105"/>
        <v>#N/A</v>
      </c>
      <c r="BW43" s="162" t="e">
        <f t="shared" si="106"/>
        <v>#N/A</v>
      </c>
      <c r="BX43" s="162" t="e">
        <f t="shared" si="107"/>
        <v>#N/A</v>
      </c>
      <c r="BY43" s="162" t="e">
        <f t="shared" si="108"/>
        <v>#N/A</v>
      </c>
      <c r="BZ43" s="142" t="e">
        <f t="shared" si="109"/>
        <v>#N/A</v>
      </c>
      <c r="CA43" s="144">
        <f>SUMIFS(購入実績入力シート[購入数量],購入実績入力シート[対象月],'管理シート（本体）'!BZ$8,購入実績入力シート[氏名],管理シート[[#This Row],[氏名]],購入実績入力シート[燃料別],管理シート[[#This Row],[燃料別]])</f>
        <v>0</v>
      </c>
      <c r="CB43" s="114" t="e">
        <f t="shared" si="110"/>
        <v>#N/A</v>
      </c>
      <c r="CC43" s="162" t="e">
        <f t="shared" si="39"/>
        <v>#N/A</v>
      </c>
      <c r="CD43" s="162" t="e">
        <f t="shared" si="111"/>
        <v>#N/A</v>
      </c>
      <c r="CE43" s="162" t="e">
        <f t="shared" si="112"/>
        <v>#N/A</v>
      </c>
      <c r="CF43" s="142" t="e">
        <f t="shared" si="113"/>
        <v>#N/A</v>
      </c>
      <c r="CG43" s="144">
        <f>SUMIFS(購入実績入力シート[購入数量],購入実績入力シート[対象月],'管理シート（本体）'!CF$8,購入実績入力シート[氏名],管理シート[[#This Row],[氏名]],購入実績入力シート[燃料別],管理シート[[#This Row],[燃料別]])</f>
        <v>0</v>
      </c>
      <c r="CH43" s="114" t="e">
        <f t="shared" si="114"/>
        <v>#N/A</v>
      </c>
      <c r="CI43" s="162" t="e">
        <f t="shared" si="115"/>
        <v>#N/A</v>
      </c>
      <c r="CJ43" s="162" t="e">
        <f t="shared" si="116"/>
        <v>#N/A</v>
      </c>
      <c r="CK43" s="162" t="e">
        <f t="shared" si="117"/>
        <v>#N/A</v>
      </c>
      <c r="CL43" s="142" t="e">
        <f t="shared" si="118"/>
        <v>#N/A</v>
      </c>
      <c r="CM43" s="144">
        <f>SUMIFS(購入実績入力シート[購入数量],購入実績入力シート[対象月],'管理シート（本体）'!CL$8,購入実績入力シート[氏名],管理シート[[#This Row],[氏名]],購入実績入力シート[燃料別],管理シート[[#This Row],[燃料別]])</f>
        <v>0</v>
      </c>
      <c r="CN43" s="114" t="e">
        <f t="shared" si="119"/>
        <v>#N/A</v>
      </c>
      <c r="CO43" s="162" t="e">
        <f t="shared" si="120"/>
        <v>#N/A</v>
      </c>
      <c r="CP43" s="162" t="e">
        <f t="shared" si="121"/>
        <v>#N/A</v>
      </c>
      <c r="CQ43" s="162" t="e">
        <f t="shared" si="122"/>
        <v>#N/A</v>
      </c>
      <c r="CR43" s="142" t="e">
        <f t="shared" si="123"/>
        <v>#N/A</v>
      </c>
      <c r="CS43" s="144">
        <f>SUMIFS(購入実績入力シート[購入数量],購入実績入力シート[対象月],'管理シート（本体）'!CR$8,購入実績入力シート[氏名],管理シート[[#This Row],[氏名]],購入実績入力シート[燃料別],管理シート[[#This Row],[燃料別]])</f>
        <v>0</v>
      </c>
      <c r="CT43" s="114" t="e">
        <f t="shared" si="124"/>
        <v>#N/A</v>
      </c>
      <c r="CU43" s="162" t="e">
        <f t="shared" si="125"/>
        <v>#N/A</v>
      </c>
      <c r="CV43" s="162" t="e">
        <f t="shared" si="126"/>
        <v>#N/A</v>
      </c>
      <c r="CW43" s="162" t="e">
        <f t="shared" si="127"/>
        <v>#N/A</v>
      </c>
      <c r="CX43" s="142" t="e">
        <f t="shared" si="128"/>
        <v>#N/A</v>
      </c>
      <c r="CY43" s="144">
        <f>SUMIFS(購入実績入力シート[購入数量],購入実績入力シート[対象月],'管理シート（本体）'!CX$8,購入実績入力シート[氏名],管理シート[[#This Row],[氏名]],購入実績入力シート[燃料別],管理シート[[#This Row],[燃料別]])</f>
        <v>0</v>
      </c>
      <c r="CZ43" s="114" t="e">
        <f t="shared" si="129"/>
        <v>#N/A</v>
      </c>
      <c r="DA43" s="162" t="e">
        <f t="shared" si="49"/>
        <v>#N/A</v>
      </c>
      <c r="DB43" s="162" t="e">
        <f t="shared" si="130"/>
        <v>#N/A</v>
      </c>
      <c r="DC43" s="162" t="e">
        <f t="shared" si="131"/>
        <v>#N/A</v>
      </c>
      <c r="DD43" s="108" t="e">
        <f t="shared" si="132"/>
        <v>#N/A</v>
      </c>
      <c r="DE43" s="108" t="e">
        <f t="shared" si="136"/>
        <v>#N/A</v>
      </c>
      <c r="DF43" s="190"/>
      <c r="DG43" s="174">
        <f t="shared" si="133"/>
        <v>0</v>
      </c>
    </row>
    <row r="44" spans="1:111" ht="19.95" customHeight="1">
      <c r="A44" s="176"/>
      <c r="B44" s="176"/>
      <c r="C44" s="176"/>
      <c r="D44" s="176"/>
      <c r="E44" s="176"/>
      <c r="F44" s="176"/>
      <c r="G44" s="176"/>
      <c r="H44" s="176"/>
      <c r="I44" s="90">
        <v>31</v>
      </c>
      <c r="J44" s="186"/>
      <c r="K44" s="91" t="s">
        <v>345</v>
      </c>
      <c r="L44" s="102"/>
      <c r="M44" s="268"/>
      <c r="N44" s="93"/>
      <c r="O44" s="90"/>
      <c r="P44" s="94"/>
      <c r="Q44" s="94"/>
      <c r="R44" s="6"/>
      <c r="S44" s="107">
        <f t="shared" si="86"/>
        <v>0</v>
      </c>
      <c r="T44" s="94"/>
      <c r="U44" s="11"/>
      <c r="V44" s="108">
        <f t="shared" si="87"/>
        <v>0</v>
      </c>
      <c r="W44" s="12"/>
      <c r="X44" s="109">
        <f t="shared" si="88"/>
        <v>0</v>
      </c>
      <c r="Y44" s="110">
        <f t="shared" si="89"/>
        <v>0</v>
      </c>
      <c r="Z44" s="95"/>
      <c r="AA44" s="95"/>
      <c r="AB44" s="95"/>
      <c r="AC44" s="95"/>
      <c r="AD44" s="95"/>
      <c r="AE44" s="95"/>
      <c r="AF44" s="94"/>
      <c r="AG44" s="111">
        <f t="shared" si="134"/>
        <v>0</v>
      </c>
      <c r="AH44" s="96"/>
      <c r="AI44" s="111">
        <f t="shared" si="135"/>
        <v>0</v>
      </c>
      <c r="AJ44" s="94"/>
      <c r="AK44" s="94"/>
      <c r="AL44" s="94"/>
      <c r="AM44" s="94"/>
      <c r="AN44" s="94"/>
      <c r="AO44" s="94"/>
      <c r="AP44" s="94"/>
      <c r="AQ44" s="97"/>
      <c r="AR44" s="94"/>
      <c r="AS44" s="94"/>
      <c r="AT44" s="94"/>
      <c r="AU44" s="94"/>
      <c r="AV44" s="97"/>
      <c r="AW44" s="97"/>
      <c r="AX44" s="94"/>
      <c r="AY44" s="94"/>
      <c r="AZ44" s="97"/>
      <c r="BA44" s="96"/>
      <c r="BB44" s="113" t="e">
        <f t="shared" si="90"/>
        <v>#N/A</v>
      </c>
      <c r="BC44" s="142">
        <f>SUMIFS(購入実績入力シート[購入数量],購入実績入力シート[対象月],'管理シート（本体）'!BB$8,購入実績入力シート[氏名],管理シート[[#This Row],[氏名]],購入実績入力シート[燃料別],管理シート[[#This Row],[燃料別]])</f>
        <v>0</v>
      </c>
      <c r="BD44" s="280" t="e">
        <f t="shared" si="91"/>
        <v>#N/A</v>
      </c>
      <c r="BE44" s="162" t="e">
        <f t="shared" si="92"/>
        <v>#N/A</v>
      </c>
      <c r="BF44" s="162" t="e">
        <f t="shared" si="93"/>
        <v>#N/A</v>
      </c>
      <c r="BG44" s="162" t="e">
        <f t="shared" si="94"/>
        <v>#N/A</v>
      </c>
      <c r="BH44" s="142" t="e">
        <f t="shared" si="95"/>
        <v>#N/A</v>
      </c>
      <c r="BI44" s="144">
        <f>SUMIFS(購入実績入力シート[購入数量],購入実績入力シート[対象月],'管理シート（本体）'!BH$8,購入実績入力シート[氏名],管理シート[[#This Row],[氏名]],購入実績入力シート[燃料別],管理シート[[#This Row],[燃料別]])</f>
        <v>0</v>
      </c>
      <c r="BJ44" s="280" t="e">
        <f t="shared" si="96"/>
        <v>#N/A</v>
      </c>
      <c r="BK44" s="162" t="e">
        <f t="shared" si="57"/>
        <v>#N/A</v>
      </c>
      <c r="BL44" s="162" t="e">
        <f t="shared" si="97"/>
        <v>#N/A</v>
      </c>
      <c r="BM44" s="162" t="e">
        <f t="shared" si="98"/>
        <v>#N/A</v>
      </c>
      <c r="BN44" s="142" t="e">
        <f t="shared" si="99"/>
        <v>#N/A</v>
      </c>
      <c r="BO44" s="144">
        <f>SUMIFS(購入実績入力シート[購入数量],購入実績入力シート[対象月],'管理シート（本体）'!BN$8,購入実績入力シート[氏名],管理シート[[#This Row],[氏名]],購入実績入力シート[燃料別],管理シート[[#This Row],[燃料別]])</f>
        <v>0</v>
      </c>
      <c r="BP44" s="280" t="e">
        <f t="shared" si="100"/>
        <v>#N/A</v>
      </c>
      <c r="BQ44" s="162" t="e">
        <f t="shared" si="101"/>
        <v>#N/A</v>
      </c>
      <c r="BR44" s="162" t="e">
        <f t="shared" si="102"/>
        <v>#N/A</v>
      </c>
      <c r="BS44" s="162" t="e">
        <f t="shared" si="103"/>
        <v>#N/A</v>
      </c>
      <c r="BT44" s="142" t="e">
        <f t="shared" si="104"/>
        <v>#N/A</v>
      </c>
      <c r="BU44" s="144">
        <f>SUMIFS(購入実績入力シート[購入数量],購入実績入力シート[対象月],'管理シート（本体）'!BT$8,購入実績入力シート[氏名],管理シート[[#This Row],[氏名]],購入実績入力シート[燃料別],管理シート[[#This Row],[燃料別]])</f>
        <v>0</v>
      </c>
      <c r="BV44" s="114" t="e">
        <f t="shared" si="105"/>
        <v>#N/A</v>
      </c>
      <c r="BW44" s="162" t="e">
        <f t="shared" si="106"/>
        <v>#N/A</v>
      </c>
      <c r="BX44" s="162" t="e">
        <f t="shared" si="107"/>
        <v>#N/A</v>
      </c>
      <c r="BY44" s="162" t="e">
        <f t="shared" si="108"/>
        <v>#N/A</v>
      </c>
      <c r="BZ44" s="142" t="e">
        <f t="shared" si="109"/>
        <v>#N/A</v>
      </c>
      <c r="CA44" s="144">
        <f>SUMIFS(購入実績入力シート[購入数量],購入実績入力シート[対象月],'管理シート（本体）'!BZ$8,購入実績入力シート[氏名],管理シート[[#This Row],[氏名]],購入実績入力シート[燃料別],管理シート[[#This Row],[燃料別]])</f>
        <v>0</v>
      </c>
      <c r="CB44" s="114" t="e">
        <f t="shared" si="110"/>
        <v>#N/A</v>
      </c>
      <c r="CC44" s="162" t="e">
        <f t="shared" si="39"/>
        <v>#N/A</v>
      </c>
      <c r="CD44" s="162" t="e">
        <f t="shared" si="111"/>
        <v>#N/A</v>
      </c>
      <c r="CE44" s="162" t="e">
        <f t="shared" si="112"/>
        <v>#N/A</v>
      </c>
      <c r="CF44" s="142" t="e">
        <f t="shared" si="113"/>
        <v>#N/A</v>
      </c>
      <c r="CG44" s="144">
        <f>SUMIFS(購入実績入力シート[購入数量],購入実績入力シート[対象月],'管理シート（本体）'!CF$8,購入実績入力シート[氏名],管理シート[[#This Row],[氏名]],購入実績入力シート[燃料別],管理シート[[#This Row],[燃料別]])</f>
        <v>0</v>
      </c>
      <c r="CH44" s="114" t="e">
        <f t="shared" si="114"/>
        <v>#N/A</v>
      </c>
      <c r="CI44" s="162" t="e">
        <f t="shared" si="115"/>
        <v>#N/A</v>
      </c>
      <c r="CJ44" s="162" t="e">
        <f t="shared" si="116"/>
        <v>#N/A</v>
      </c>
      <c r="CK44" s="162" t="e">
        <f t="shared" si="117"/>
        <v>#N/A</v>
      </c>
      <c r="CL44" s="142" t="e">
        <f t="shared" si="118"/>
        <v>#N/A</v>
      </c>
      <c r="CM44" s="144">
        <f>SUMIFS(購入実績入力シート[購入数量],購入実績入力シート[対象月],'管理シート（本体）'!CL$8,購入実績入力シート[氏名],管理シート[[#This Row],[氏名]],購入実績入力シート[燃料別],管理シート[[#This Row],[燃料別]])</f>
        <v>0</v>
      </c>
      <c r="CN44" s="114" t="e">
        <f t="shared" si="119"/>
        <v>#N/A</v>
      </c>
      <c r="CO44" s="162" t="e">
        <f t="shared" si="120"/>
        <v>#N/A</v>
      </c>
      <c r="CP44" s="162" t="e">
        <f t="shared" si="121"/>
        <v>#N/A</v>
      </c>
      <c r="CQ44" s="162" t="e">
        <f t="shared" si="122"/>
        <v>#N/A</v>
      </c>
      <c r="CR44" s="142" t="e">
        <f t="shared" si="123"/>
        <v>#N/A</v>
      </c>
      <c r="CS44" s="144">
        <f>SUMIFS(購入実績入力シート[購入数量],購入実績入力シート[対象月],'管理シート（本体）'!CR$8,購入実績入力シート[氏名],管理シート[[#This Row],[氏名]],購入実績入力シート[燃料別],管理シート[[#This Row],[燃料別]])</f>
        <v>0</v>
      </c>
      <c r="CT44" s="114" t="e">
        <f t="shared" si="124"/>
        <v>#N/A</v>
      </c>
      <c r="CU44" s="162" t="e">
        <f t="shared" si="125"/>
        <v>#N/A</v>
      </c>
      <c r="CV44" s="162" t="e">
        <f t="shared" si="126"/>
        <v>#N/A</v>
      </c>
      <c r="CW44" s="162" t="e">
        <f t="shared" si="127"/>
        <v>#N/A</v>
      </c>
      <c r="CX44" s="142" t="e">
        <f t="shared" si="128"/>
        <v>#N/A</v>
      </c>
      <c r="CY44" s="144">
        <f>SUMIFS(購入実績入力シート[購入数量],購入実績入力シート[対象月],'管理シート（本体）'!CX$8,購入実績入力シート[氏名],管理シート[[#This Row],[氏名]],購入実績入力シート[燃料別],管理シート[[#This Row],[燃料別]])</f>
        <v>0</v>
      </c>
      <c r="CZ44" s="114" t="e">
        <f t="shared" si="129"/>
        <v>#N/A</v>
      </c>
      <c r="DA44" s="162" t="e">
        <f t="shared" si="49"/>
        <v>#N/A</v>
      </c>
      <c r="DB44" s="162" t="e">
        <f t="shared" si="130"/>
        <v>#N/A</v>
      </c>
      <c r="DC44" s="162" t="e">
        <f t="shared" si="131"/>
        <v>#N/A</v>
      </c>
      <c r="DD44" s="108" t="e">
        <f t="shared" si="132"/>
        <v>#N/A</v>
      </c>
      <c r="DE44" s="108" t="e">
        <f t="shared" si="136"/>
        <v>#N/A</v>
      </c>
      <c r="DF44" s="190"/>
      <c r="DG44" s="174">
        <f t="shared" si="133"/>
        <v>0</v>
      </c>
    </row>
    <row r="45" spans="1:111" ht="19.95" customHeight="1">
      <c r="A45" s="176"/>
      <c r="B45" s="176"/>
      <c r="C45" s="176"/>
      <c r="D45" s="176"/>
      <c r="E45" s="176"/>
      <c r="F45" s="176"/>
      <c r="G45" s="176"/>
      <c r="H45" s="176"/>
      <c r="I45" s="255">
        <v>32</v>
      </c>
      <c r="J45" s="186"/>
      <c r="K45" s="91" t="s">
        <v>346</v>
      </c>
      <c r="L45" s="102"/>
      <c r="M45" s="268"/>
      <c r="N45" s="93"/>
      <c r="O45" s="90"/>
      <c r="P45" s="94"/>
      <c r="Q45" s="94"/>
      <c r="R45" s="6"/>
      <c r="S45" s="107">
        <f t="shared" si="86"/>
        <v>0</v>
      </c>
      <c r="T45" s="94"/>
      <c r="U45" s="11"/>
      <c r="V45" s="108">
        <f t="shared" si="87"/>
        <v>0</v>
      </c>
      <c r="W45" s="12"/>
      <c r="X45" s="109">
        <f t="shared" si="88"/>
        <v>0</v>
      </c>
      <c r="Y45" s="110">
        <f t="shared" si="89"/>
        <v>0</v>
      </c>
      <c r="Z45" s="95"/>
      <c r="AA45" s="95"/>
      <c r="AB45" s="95"/>
      <c r="AC45" s="95"/>
      <c r="AD45" s="95"/>
      <c r="AE45" s="95"/>
      <c r="AF45" s="94"/>
      <c r="AG45" s="111">
        <f t="shared" si="134"/>
        <v>0</v>
      </c>
      <c r="AH45" s="96"/>
      <c r="AI45" s="111">
        <f t="shared" si="135"/>
        <v>0</v>
      </c>
      <c r="AJ45" s="94"/>
      <c r="AK45" s="94"/>
      <c r="AL45" s="94"/>
      <c r="AM45" s="94"/>
      <c r="AN45" s="94"/>
      <c r="AO45" s="94"/>
      <c r="AP45" s="94"/>
      <c r="AQ45" s="97"/>
      <c r="AR45" s="94"/>
      <c r="AS45" s="94"/>
      <c r="AT45" s="94"/>
      <c r="AU45" s="94"/>
      <c r="AV45" s="97"/>
      <c r="AW45" s="97"/>
      <c r="AX45" s="94"/>
      <c r="AY45" s="94"/>
      <c r="AZ45" s="97"/>
      <c r="BA45" s="96"/>
      <c r="BB45" s="113" t="e">
        <f t="shared" si="90"/>
        <v>#N/A</v>
      </c>
      <c r="BC45" s="142">
        <f>SUMIFS(購入実績入力シート[購入数量],購入実績入力シート[対象月],'管理シート（本体）'!BB$8,購入実績入力シート[氏名],管理シート[[#This Row],[氏名]],購入実績入力シート[燃料別],管理シート[[#This Row],[燃料別]])</f>
        <v>0</v>
      </c>
      <c r="BD45" s="280" t="e">
        <f t="shared" si="91"/>
        <v>#N/A</v>
      </c>
      <c r="BE45" s="162" t="e">
        <f t="shared" si="92"/>
        <v>#N/A</v>
      </c>
      <c r="BF45" s="162" t="e">
        <f t="shared" si="93"/>
        <v>#N/A</v>
      </c>
      <c r="BG45" s="162" t="e">
        <f t="shared" si="94"/>
        <v>#N/A</v>
      </c>
      <c r="BH45" s="142" t="e">
        <f t="shared" si="95"/>
        <v>#N/A</v>
      </c>
      <c r="BI45" s="144">
        <f>SUMIFS(購入実績入力シート[購入数量],購入実績入力シート[対象月],'管理シート（本体）'!BH$8,購入実績入力シート[氏名],管理シート[[#This Row],[氏名]],購入実績入力シート[燃料別],管理シート[[#This Row],[燃料別]])</f>
        <v>0</v>
      </c>
      <c r="BJ45" s="280" t="e">
        <f t="shared" si="96"/>
        <v>#N/A</v>
      </c>
      <c r="BK45" s="162" t="e">
        <f t="shared" si="57"/>
        <v>#N/A</v>
      </c>
      <c r="BL45" s="162" t="e">
        <f t="shared" si="97"/>
        <v>#N/A</v>
      </c>
      <c r="BM45" s="162" t="e">
        <f t="shared" si="98"/>
        <v>#N/A</v>
      </c>
      <c r="BN45" s="142" t="e">
        <f t="shared" si="99"/>
        <v>#N/A</v>
      </c>
      <c r="BO45" s="144">
        <f>SUMIFS(購入実績入力シート[購入数量],購入実績入力シート[対象月],'管理シート（本体）'!BN$8,購入実績入力シート[氏名],管理シート[[#This Row],[氏名]],購入実績入力シート[燃料別],管理シート[[#This Row],[燃料別]])</f>
        <v>0</v>
      </c>
      <c r="BP45" s="280" t="e">
        <f t="shared" si="100"/>
        <v>#N/A</v>
      </c>
      <c r="BQ45" s="162" t="e">
        <f t="shared" si="101"/>
        <v>#N/A</v>
      </c>
      <c r="BR45" s="162" t="e">
        <f t="shared" si="102"/>
        <v>#N/A</v>
      </c>
      <c r="BS45" s="162" t="e">
        <f t="shared" si="103"/>
        <v>#N/A</v>
      </c>
      <c r="BT45" s="142" t="e">
        <f t="shared" si="104"/>
        <v>#N/A</v>
      </c>
      <c r="BU45" s="144">
        <f>SUMIFS(購入実績入力シート[購入数量],購入実績入力シート[対象月],'管理シート（本体）'!BT$8,購入実績入力シート[氏名],管理シート[[#This Row],[氏名]],購入実績入力シート[燃料別],管理シート[[#This Row],[燃料別]])</f>
        <v>0</v>
      </c>
      <c r="BV45" s="114" t="e">
        <f t="shared" si="105"/>
        <v>#N/A</v>
      </c>
      <c r="BW45" s="162" t="e">
        <f t="shared" si="106"/>
        <v>#N/A</v>
      </c>
      <c r="BX45" s="162" t="e">
        <f t="shared" si="107"/>
        <v>#N/A</v>
      </c>
      <c r="BY45" s="162" t="e">
        <f t="shared" si="108"/>
        <v>#N/A</v>
      </c>
      <c r="BZ45" s="142" t="e">
        <f t="shared" si="109"/>
        <v>#N/A</v>
      </c>
      <c r="CA45" s="144">
        <f>SUMIFS(購入実績入力シート[購入数量],購入実績入力シート[対象月],'管理シート（本体）'!BZ$8,購入実績入力シート[氏名],管理シート[[#This Row],[氏名]],購入実績入力シート[燃料別],管理シート[[#This Row],[燃料別]])</f>
        <v>0</v>
      </c>
      <c r="CB45" s="114" t="e">
        <f t="shared" si="110"/>
        <v>#N/A</v>
      </c>
      <c r="CC45" s="162" t="e">
        <f t="shared" si="39"/>
        <v>#N/A</v>
      </c>
      <c r="CD45" s="162" t="e">
        <f t="shared" si="111"/>
        <v>#N/A</v>
      </c>
      <c r="CE45" s="162" t="e">
        <f t="shared" si="112"/>
        <v>#N/A</v>
      </c>
      <c r="CF45" s="142" t="e">
        <f t="shared" si="113"/>
        <v>#N/A</v>
      </c>
      <c r="CG45" s="144">
        <f>SUMIFS(購入実績入力シート[購入数量],購入実績入力シート[対象月],'管理シート（本体）'!CF$8,購入実績入力シート[氏名],管理シート[[#This Row],[氏名]],購入実績入力シート[燃料別],管理シート[[#This Row],[燃料別]])</f>
        <v>0</v>
      </c>
      <c r="CH45" s="114" t="e">
        <f t="shared" si="114"/>
        <v>#N/A</v>
      </c>
      <c r="CI45" s="162" t="e">
        <f t="shared" si="115"/>
        <v>#N/A</v>
      </c>
      <c r="CJ45" s="162" t="e">
        <f t="shared" si="116"/>
        <v>#N/A</v>
      </c>
      <c r="CK45" s="162" t="e">
        <f t="shared" si="117"/>
        <v>#N/A</v>
      </c>
      <c r="CL45" s="142" t="e">
        <f t="shared" si="118"/>
        <v>#N/A</v>
      </c>
      <c r="CM45" s="144">
        <f>SUMIFS(購入実績入力シート[購入数量],購入実績入力シート[対象月],'管理シート（本体）'!CL$8,購入実績入力シート[氏名],管理シート[[#This Row],[氏名]],購入実績入力シート[燃料別],管理シート[[#This Row],[燃料別]])</f>
        <v>0</v>
      </c>
      <c r="CN45" s="114" t="e">
        <f t="shared" si="119"/>
        <v>#N/A</v>
      </c>
      <c r="CO45" s="162" t="e">
        <f t="shared" si="120"/>
        <v>#N/A</v>
      </c>
      <c r="CP45" s="162" t="e">
        <f t="shared" si="121"/>
        <v>#N/A</v>
      </c>
      <c r="CQ45" s="162" t="e">
        <f t="shared" si="122"/>
        <v>#N/A</v>
      </c>
      <c r="CR45" s="142" t="e">
        <f t="shared" si="123"/>
        <v>#N/A</v>
      </c>
      <c r="CS45" s="144">
        <f>SUMIFS(購入実績入力シート[購入数量],購入実績入力シート[対象月],'管理シート（本体）'!CR$8,購入実績入力シート[氏名],管理シート[[#This Row],[氏名]],購入実績入力シート[燃料別],管理シート[[#This Row],[燃料別]])</f>
        <v>0</v>
      </c>
      <c r="CT45" s="114" t="e">
        <f t="shared" si="124"/>
        <v>#N/A</v>
      </c>
      <c r="CU45" s="162" t="e">
        <f t="shared" si="125"/>
        <v>#N/A</v>
      </c>
      <c r="CV45" s="162" t="e">
        <f t="shared" si="126"/>
        <v>#N/A</v>
      </c>
      <c r="CW45" s="162" t="e">
        <f t="shared" si="127"/>
        <v>#N/A</v>
      </c>
      <c r="CX45" s="142" t="e">
        <f t="shared" si="128"/>
        <v>#N/A</v>
      </c>
      <c r="CY45" s="144">
        <f>SUMIFS(購入実績入力シート[購入数量],購入実績入力シート[対象月],'管理シート（本体）'!CX$8,購入実績入力シート[氏名],管理シート[[#This Row],[氏名]],購入実績入力シート[燃料別],管理シート[[#This Row],[燃料別]])</f>
        <v>0</v>
      </c>
      <c r="CZ45" s="114" t="e">
        <f t="shared" si="129"/>
        <v>#N/A</v>
      </c>
      <c r="DA45" s="162" t="e">
        <f t="shared" si="49"/>
        <v>#N/A</v>
      </c>
      <c r="DB45" s="162" t="e">
        <f t="shared" si="130"/>
        <v>#N/A</v>
      </c>
      <c r="DC45" s="162" t="e">
        <f t="shared" si="131"/>
        <v>#N/A</v>
      </c>
      <c r="DD45" s="108" t="e">
        <f t="shared" si="132"/>
        <v>#N/A</v>
      </c>
      <c r="DE45" s="108" t="e">
        <f t="shared" si="136"/>
        <v>#N/A</v>
      </c>
      <c r="DF45" s="190"/>
      <c r="DG45" s="174">
        <f t="shared" si="133"/>
        <v>0</v>
      </c>
    </row>
    <row r="46" spans="1:111" ht="19.95" customHeight="1">
      <c r="A46" s="176"/>
      <c r="B46" s="176"/>
      <c r="C46" s="176"/>
      <c r="D46" s="176"/>
      <c r="E46" s="176"/>
      <c r="F46" s="176"/>
      <c r="G46" s="176"/>
      <c r="H46" s="176"/>
      <c r="I46" s="90">
        <v>33</v>
      </c>
      <c r="J46" s="186"/>
      <c r="K46" s="91" t="s">
        <v>347</v>
      </c>
      <c r="L46" s="102"/>
      <c r="M46" s="268"/>
      <c r="N46" s="93"/>
      <c r="O46" s="90"/>
      <c r="P46" s="94"/>
      <c r="Q46" s="94"/>
      <c r="R46" s="6"/>
      <c r="S46" s="107">
        <f t="shared" si="86"/>
        <v>0</v>
      </c>
      <c r="T46" s="94"/>
      <c r="U46" s="11"/>
      <c r="V46" s="108">
        <f t="shared" si="87"/>
        <v>0</v>
      </c>
      <c r="W46" s="12"/>
      <c r="X46" s="109">
        <f t="shared" si="88"/>
        <v>0</v>
      </c>
      <c r="Y46" s="110">
        <f t="shared" si="89"/>
        <v>0</v>
      </c>
      <c r="Z46" s="95"/>
      <c r="AA46" s="95"/>
      <c r="AB46" s="95"/>
      <c r="AC46" s="95"/>
      <c r="AD46" s="95"/>
      <c r="AE46" s="95"/>
      <c r="AF46" s="94"/>
      <c r="AG46" s="111">
        <f t="shared" si="134"/>
        <v>0</v>
      </c>
      <c r="AH46" s="96"/>
      <c r="AI46" s="111">
        <f t="shared" si="135"/>
        <v>0</v>
      </c>
      <c r="AJ46" s="94"/>
      <c r="AK46" s="94"/>
      <c r="AL46" s="94"/>
      <c r="AM46" s="94"/>
      <c r="AN46" s="94"/>
      <c r="AO46" s="94"/>
      <c r="AP46" s="94"/>
      <c r="AQ46" s="97"/>
      <c r="AR46" s="94"/>
      <c r="AS46" s="94"/>
      <c r="AT46" s="94"/>
      <c r="AU46" s="94"/>
      <c r="AV46" s="97"/>
      <c r="AW46" s="97"/>
      <c r="AX46" s="94"/>
      <c r="AY46" s="94"/>
      <c r="AZ46" s="97"/>
      <c r="BA46" s="96"/>
      <c r="BB46" s="113" t="e">
        <f t="shared" si="90"/>
        <v>#N/A</v>
      </c>
      <c r="BC46" s="142">
        <f>SUMIFS(購入実績入力シート[購入数量],購入実績入力シート[対象月],'管理シート（本体）'!BB$8,購入実績入力シート[氏名],管理シート[[#This Row],[氏名]],購入実績入力シート[燃料別],管理シート[[#This Row],[燃料別]])</f>
        <v>0</v>
      </c>
      <c r="BD46" s="280" t="e">
        <f t="shared" si="91"/>
        <v>#N/A</v>
      </c>
      <c r="BE46" s="162" t="e">
        <f t="shared" si="92"/>
        <v>#N/A</v>
      </c>
      <c r="BF46" s="162" t="e">
        <f t="shared" si="93"/>
        <v>#N/A</v>
      </c>
      <c r="BG46" s="162" t="e">
        <f t="shared" si="94"/>
        <v>#N/A</v>
      </c>
      <c r="BH46" s="142" t="e">
        <f t="shared" si="95"/>
        <v>#N/A</v>
      </c>
      <c r="BI46" s="144">
        <f>SUMIFS(購入実績入力シート[購入数量],購入実績入力シート[対象月],'管理シート（本体）'!BH$8,購入実績入力シート[氏名],管理シート[[#This Row],[氏名]],購入実績入力シート[燃料別],管理シート[[#This Row],[燃料別]])</f>
        <v>0</v>
      </c>
      <c r="BJ46" s="280" t="e">
        <f t="shared" si="96"/>
        <v>#N/A</v>
      </c>
      <c r="BK46" s="162" t="e">
        <f t="shared" si="57"/>
        <v>#N/A</v>
      </c>
      <c r="BL46" s="162" t="e">
        <f t="shared" si="97"/>
        <v>#N/A</v>
      </c>
      <c r="BM46" s="162" t="e">
        <f t="shared" si="98"/>
        <v>#N/A</v>
      </c>
      <c r="BN46" s="142" t="e">
        <f t="shared" si="99"/>
        <v>#N/A</v>
      </c>
      <c r="BO46" s="144">
        <f>SUMIFS(購入実績入力シート[購入数量],購入実績入力シート[対象月],'管理シート（本体）'!BN$8,購入実績入力シート[氏名],管理シート[[#This Row],[氏名]],購入実績入力シート[燃料別],管理シート[[#This Row],[燃料別]])</f>
        <v>0</v>
      </c>
      <c r="BP46" s="280" t="e">
        <f t="shared" si="100"/>
        <v>#N/A</v>
      </c>
      <c r="BQ46" s="162" t="e">
        <f t="shared" si="101"/>
        <v>#N/A</v>
      </c>
      <c r="BR46" s="162" t="e">
        <f t="shared" si="102"/>
        <v>#N/A</v>
      </c>
      <c r="BS46" s="162" t="e">
        <f t="shared" si="103"/>
        <v>#N/A</v>
      </c>
      <c r="BT46" s="142" t="e">
        <f t="shared" si="104"/>
        <v>#N/A</v>
      </c>
      <c r="BU46" s="144">
        <f>SUMIFS(購入実績入力シート[購入数量],購入実績入力シート[対象月],'管理シート（本体）'!BT$8,購入実績入力シート[氏名],管理シート[[#This Row],[氏名]],購入実績入力シート[燃料別],管理シート[[#This Row],[燃料別]])</f>
        <v>0</v>
      </c>
      <c r="BV46" s="114" t="e">
        <f t="shared" si="105"/>
        <v>#N/A</v>
      </c>
      <c r="BW46" s="162" t="e">
        <f t="shared" si="106"/>
        <v>#N/A</v>
      </c>
      <c r="BX46" s="162" t="e">
        <f t="shared" si="107"/>
        <v>#N/A</v>
      </c>
      <c r="BY46" s="162" t="e">
        <f t="shared" si="108"/>
        <v>#N/A</v>
      </c>
      <c r="BZ46" s="142" t="e">
        <f t="shared" si="109"/>
        <v>#N/A</v>
      </c>
      <c r="CA46" s="144">
        <f>SUMIFS(購入実績入力シート[購入数量],購入実績入力シート[対象月],'管理シート（本体）'!BZ$8,購入実績入力シート[氏名],管理シート[[#This Row],[氏名]],購入実績入力シート[燃料別],管理シート[[#This Row],[燃料別]])</f>
        <v>0</v>
      </c>
      <c r="CB46" s="114" t="e">
        <f t="shared" si="110"/>
        <v>#N/A</v>
      </c>
      <c r="CC46" s="162" t="e">
        <f t="shared" si="39"/>
        <v>#N/A</v>
      </c>
      <c r="CD46" s="162" t="e">
        <f t="shared" si="111"/>
        <v>#N/A</v>
      </c>
      <c r="CE46" s="162" t="e">
        <f t="shared" si="112"/>
        <v>#N/A</v>
      </c>
      <c r="CF46" s="142" t="e">
        <f t="shared" si="113"/>
        <v>#N/A</v>
      </c>
      <c r="CG46" s="144">
        <f>SUMIFS(購入実績入力シート[購入数量],購入実績入力シート[対象月],'管理シート（本体）'!CF$8,購入実績入力シート[氏名],管理シート[[#This Row],[氏名]],購入実績入力シート[燃料別],管理シート[[#This Row],[燃料別]])</f>
        <v>0</v>
      </c>
      <c r="CH46" s="114" t="e">
        <f t="shared" si="114"/>
        <v>#N/A</v>
      </c>
      <c r="CI46" s="162" t="e">
        <f t="shared" si="115"/>
        <v>#N/A</v>
      </c>
      <c r="CJ46" s="162" t="e">
        <f t="shared" si="116"/>
        <v>#N/A</v>
      </c>
      <c r="CK46" s="162" t="e">
        <f t="shared" si="117"/>
        <v>#N/A</v>
      </c>
      <c r="CL46" s="142" t="e">
        <f t="shared" si="118"/>
        <v>#N/A</v>
      </c>
      <c r="CM46" s="144">
        <f>SUMIFS(購入実績入力シート[購入数量],購入実績入力シート[対象月],'管理シート（本体）'!CL$8,購入実績入力シート[氏名],管理シート[[#This Row],[氏名]],購入実績入力シート[燃料別],管理シート[[#This Row],[燃料別]])</f>
        <v>0</v>
      </c>
      <c r="CN46" s="114" t="e">
        <f t="shared" si="119"/>
        <v>#N/A</v>
      </c>
      <c r="CO46" s="162" t="e">
        <f t="shared" si="120"/>
        <v>#N/A</v>
      </c>
      <c r="CP46" s="162" t="e">
        <f t="shared" si="121"/>
        <v>#N/A</v>
      </c>
      <c r="CQ46" s="162" t="e">
        <f t="shared" si="122"/>
        <v>#N/A</v>
      </c>
      <c r="CR46" s="142" t="e">
        <f t="shared" si="123"/>
        <v>#N/A</v>
      </c>
      <c r="CS46" s="144">
        <f>SUMIFS(購入実績入力シート[購入数量],購入実績入力シート[対象月],'管理シート（本体）'!CR$8,購入実績入力シート[氏名],管理シート[[#This Row],[氏名]],購入実績入力シート[燃料別],管理シート[[#This Row],[燃料別]])</f>
        <v>0</v>
      </c>
      <c r="CT46" s="114" t="e">
        <f t="shared" si="124"/>
        <v>#N/A</v>
      </c>
      <c r="CU46" s="162" t="e">
        <f t="shared" si="125"/>
        <v>#N/A</v>
      </c>
      <c r="CV46" s="162" t="e">
        <f t="shared" si="126"/>
        <v>#N/A</v>
      </c>
      <c r="CW46" s="162" t="e">
        <f t="shared" si="127"/>
        <v>#N/A</v>
      </c>
      <c r="CX46" s="142" t="e">
        <f t="shared" si="128"/>
        <v>#N/A</v>
      </c>
      <c r="CY46" s="144">
        <f>SUMIFS(購入実績入力シート[購入数量],購入実績入力シート[対象月],'管理シート（本体）'!CX$8,購入実績入力シート[氏名],管理シート[[#This Row],[氏名]],購入実績入力シート[燃料別],管理シート[[#This Row],[燃料別]])</f>
        <v>0</v>
      </c>
      <c r="CZ46" s="114" t="e">
        <f t="shared" si="129"/>
        <v>#N/A</v>
      </c>
      <c r="DA46" s="162" t="e">
        <f t="shared" si="49"/>
        <v>#N/A</v>
      </c>
      <c r="DB46" s="162" t="e">
        <f t="shared" si="130"/>
        <v>#N/A</v>
      </c>
      <c r="DC46" s="162" t="e">
        <f t="shared" si="131"/>
        <v>#N/A</v>
      </c>
      <c r="DD46" s="108" t="e">
        <f t="shared" si="132"/>
        <v>#N/A</v>
      </c>
      <c r="DE46" s="108" t="e">
        <f t="shared" si="136"/>
        <v>#N/A</v>
      </c>
      <c r="DF46" s="190"/>
      <c r="DG46" s="174">
        <f t="shared" si="133"/>
        <v>0</v>
      </c>
    </row>
    <row r="47" spans="1:111" ht="19.95" customHeight="1">
      <c r="A47" s="176"/>
      <c r="B47" s="176"/>
      <c r="C47" s="176"/>
      <c r="D47" s="176"/>
      <c r="E47" s="176"/>
      <c r="F47" s="176"/>
      <c r="G47" s="176"/>
      <c r="H47" s="176"/>
      <c r="I47" s="90">
        <v>34</v>
      </c>
      <c r="J47" s="186"/>
      <c r="K47" s="91" t="s">
        <v>348</v>
      </c>
      <c r="L47" s="102"/>
      <c r="M47" s="268"/>
      <c r="N47" s="93"/>
      <c r="O47" s="90"/>
      <c r="P47" s="94"/>
      <c r="Q47" s="94"/>
      <c r="R47" s="6"/>
      <c r="S47" s="107">
        <f t="shared" si="86"/>
        <v>0</v>
      </c>
      <c r="T47" s="94"/>
      <c r="U47" s="11"/>
      <c r="V47" s="108">
        <f t="shared" si="87"/>
        <v>0</v>
      </c>
      <c r="W47" s="12"/>
      <c r="X47" s="109">
        <f t="shared" si="88"/>
        <v>0</v>
      </c>
      <c r="Y47" s="110">
        <f t="shared" si="89"/>
        <v>0</v>
      </c>
      <c r="Z47" s="95"/>
      <c r="AA47" s="95"/>
      <c r="AB47" s="95"/>
      <c r="AC47" s="95"/>
      <c r="AD47" s="95"/>
      <c r="AE47" s="95"/>
      <c r="AF47" s="94"/>
      <c r="AG47" s="111">
        <f t="shared" si="134"/>
        <v>0</v>
      </c>
      <c r="AH47" s="96"/>
      <c r="AI47" s="111">
        <f t="shared" si="135"/>
        <v>0</v>
      </c>
      <c r="AJ47" s="94"/>
      <c r="AK47" s="94"/>
      <c r="AL47" s="94"/>
      <c r="AM47" s="94"/>
      <c r="AN47" s="94"/>
      <c r="AO47" s="94"/>
      <c r="AP47" s="94"/>
      <c r="AQ47" s="97"/>
      <c r="AR47" s="94"/>
      <c r="AS47" s="94"/>
      <c r="AT47" s="94"/>
      <c r="AU47" s="94"/>
      <c r="AV47" s="97"/>
      <c r="AW47" s="97"/>
      <c r="AX47" s="94"/>
      <c r="AY47" s="94"/>
      <c r="AZ47" s="97"/>
      <c r="BA47" s="96"/>
      <c r="BB47" s="113" t="e">
        <f t="shared" si="90"/>
        <v>#N/A</v>
      </c>
      <c r="BC47" s="142">
        <f>SUMIFS(購入実績入力シート[購入数量],購入実績入力シート[対象月],'管理シート（本体）'!BB$8,購入実績入力シート[氏名],管理シート[[#This Row],[氏名]],購入実績入力シート[燃料別],管理シート[[#This Row],[燃料別]])</f>
        <v>0</v>
      </c>
      <c r="BD47" s="280" t="e">
        <f t="shared" si="91"/>
        <v>#N/A</v>
      </c>
      <c r="BE47" s="162" t="e">
        <f t="shared" si="92"/>
        <v>#N/A</v>
      </c>
      <c r="BF47" s="162" t="e">
        <f t="shared" si="93"/>
        <v>#N/A</v>
      </c>
      <c r="BG47" s="162" t="e">
        <f t="shared" si="94"/>
        <v>#N/A</v>
      </c>
      <c r="BH47" s="142" t="e">
        <f t="shared" si="95"/>
        <v>#N/A</v>
      </c>
      <c r="BI47" s="144">
        <f>SUMIFS(購入実績入力シート[購入数量],購入実績入力シート[対象月],'管理シート（本体）'!BH$8,購入実績入力シート[氏名],管理シート[[#This Row],[氏名]],購入実績入力シート[燃料別],管理シート[[#This Row],[燃料別]])</f>
        <v>0</v>
      </c>
      <c r="BJ47" s="280" t="e">
        <f t="shared" si="96"/>
        <v>#N/A</v>
      </c>
      <c r="BK47" s="162" t="e">
        <f t="shared" si="57"/>
        <v>#N/A</v>
      </c>
      <c r="BL47" s="162" t="e">
        <f t="shared" si="97"/>
        <v>#N/A</v>
      </c>
      <c r="BM47" s="162" t="e">
        <f t="shared" si="98"/>
        <v>#N/A</v>
      </c>
      <c r="BN47" s="142" t="e">
        <f t="shared" si="99"/>
        <v>#N/A</v>
      </c>
      <c r="BO47" s="144">
        <f>SUMIFS(購入実績入力シート[購入数量],購入実績入力シート[対象月],'管理シート（本体）'!BN$8,購入実績入力シート[氏名],管理シート[[#This Row],[氏名]],購入実績入力シート[燃料別],管理シート[[#This Row],[燃料別]])</f>
        <v>0</v>
      </c>
      <c r="BP47" s="280" t="e">
        <f t="shared" si="100"/>
        <v>#N/A</v>
      </c>
      <c r="BQ47" s="162" t="e">
        <f t="shared" si="101"/>
        <v>#N/A</v>
      </c>
      <c r="BR47" s="162" t="e">
        <f t="shared" si="102"/>
        <v>#N/A</v>
      </c>
      <c r="BS47" s="162" t="e">
        <f t="shared" si="103"/>
        <v>#N/A</v>
      </c>
      <c r="BT47" s="142" t="e">
        <f t="shared" si="104"/>
        <v>#N/A</v>
      </c>
      <c r="BU47" s="144">
        <f>SUMIFS(購入実績入力シート[購入数量],購入実績入力シート[対象月],'管理シート（本体）'!BT$8,購入実績入力シート[氏名],管理シート[[#This Row],[氏名]],購入実績入力シート[燃料別],管理シート[[#This Row],[燃料別]])</f>
        <v>0</v>
      </c>
      <c r="BV47" s="114" t="e">
        <f t="shared" si="105"/>
        <v>#N/A</v>
      </c>
      <c r="BW47" s="162" t="e">
        <f t="shared" si="106"/>
        <v>#N/A</v>
      </c>
      <c r="BX47" s="162" t="e">
        <f t="shared" si="107"/>
        <v>#N/A</v>
      </c>
      <c r="BY47" s="162" t="e">
        <f t="shared" si="108"/>
        <v>#N/A</v>
      </c>
      <c r="BZ47" s="142" t="e">
        <f t="shared" si="109"/>
        <v>#N/A</v>
      </c>
      <c r="CA47" s="144">
        <f>SUMIFS(購入実績入力シート[購入数量],購入実績入力シート[対象月],'管理シート（本体）'!BZ$8,購入実績入力シート[氏名],管理シート[[#This Row],[氏名]],購入実績入力シート[燃料別],管理シート[[#This Row],[燃料別]])</f>
        <v>0</v>
      </c>
      <c r="CB47" s="114" t="e">
        <f t="shared" si="110"/>
        <v>#N/A</v>
      </c>
      <c r="CC47" s="162" t="e">
        <f t="shared" si="39"/>
        <v>#N/A</v>
      </c>
      <c r="CD47" s="162" t="e">
        <f t="shared" si="111"/>
        <v>#N/A</v>
      </c>
      <c r="CE47" s="162" t="e">
        <f t="shared" si="112"/>
        <v>#N/A</v>
      </c>
      <c r="CF47" s="142" t="e">
        <f t="shared" si="113"/>
        <v>#N/A</v>
      </c>
      <c r="CG47" s="144">
        <f>SUMIFS(購入実績入力シート[購入数量],購入実績入力シート[対象月],'管理シート（本体）'!CF$8,購入実績入力シート[氏名],管理シート[[#This Row],[氏名]],購入実績入力シート[燃料別],管理シート[[#This Row],[燃料別]])</f>
        <v>0</v>
      </c>
      <c r="CH47" s="114" t="e">
        <f t="shared" si="114"/>
        <v>#N/A</v>
      </c>
      <c r="CI47" s="162" t="e">
        <f t="shared" si="115"/>
        <v>#N/A</v>
      </c>
      <c r="CJ47" s="162" t="e">
        <f t="shared" si="116"/>
        <v>#N/A</v>
      </c>
      <c r="CK47" s="162" t="e">
        <f t="shared" si="117"/>
        <v>#N/A</v>
      </c>
      <c r="CL47" s="142" t="e">
        <f t="shared" si="118"/>
        <v>#N/A</v>
      </c>
      <c r="CM47" s="144">
        <f>SUMIFS(購入実績入力シート[購入数量],購入実績入力シート[対象月],'管理シート（本体）'!CL$8,購入実績入力シート[氏名],管理シート[[#This Row],[氏名]],購入実績入力シート[燃料別],管理シート[[#This Row],[燃料別]])</f>
        <v>0</v>
      </c>
      <c r="CN47" s="114" t="e">
        <f t="shared" si="119"/>
        <v>#N/A</v>
      </c>
      <c r="CO47" s="162" t="e">
        <f t="shared" si="120"/>
        <v>#N/A</v>
      </c>
      <c r="CP47" s="162" t="e">
        <f t="shared" si="121"/>
        <v>#N/A</v>
      </c>
      <c r="CQ47" s="162" t="e">
        <f t="shared" si="122"/>
        <v>#N/A</v>
      </c>
      <c r="CR47" s="142" t="e">
        <f t="shared" si="123"/>
        <v>#N/A</v>
      </c>
      <c r="CS47" s="144">
        <f>SUMIFS(購入実績入力シート[購入数量],購入実績入力シート[対象月],'管理シート（本体）'!CR$8,購入実績入力シート[氏名],管理シート[[#This Row],[氏名]],購入実績入力シート[燃料別],管理シート[[#This Row],[燃料別]])</f>
        <v>0</v>
      </c>
      <c r="CT47" s="114" t="e">
        <f t="shared" si="124"/>
        <v>#N/A</v>
      </c>
      <c r="CU47" s="162" t="e">
        <f t="shared" si="125"/>
        <v>#N/A</v>
      </c>
      <c r="CV47" s="162" t="e">
        <f t="shared" si="126"/>
        <v>#N/A</v>
      </c>
      <c r="CW47" s="162" t="e">
        <f t="shared" si="127"/>
        <v>#N/A</v>
      </c>
      <c r="CX47" s="142" t="e">
        <f t="shared" si="128"/>
        <v>#N/A</v>
      </c>
      <c r="CY47" s="144">
        <f>SUMIFS(購入実績入力シート[購入数量],購入実績入力シート[対象月],'管理シート（本体）'!CX$8,購入実績入力シート[氏名],管理シート[[#This Row],[氏名]],購入実績入力シート[燃料別],管理シート[[#This Row],[燃料別]])</f>
        <v>0</v>
      </c>
      <c r="CZ47" s="114" t="e">
        <f t="shared" si="129"/>
        <v>#N/A</v>
      </c>
      <c r="DA47" s="162" t="e">
        <f t="shared" si="49"/>
        <v>#N/A</v>
      </c>
      <c r="DB47" s="162" t="e">
        <f t="shared" si="130"/>
        <v>#N/A</v>
      </c>
      <c r="DC47" s="162" t="e">
        <f t="shared" si="131"/>
        <v>#N/A</v>
      </c>
      <c r="DD47" s="108" t="e">
        <f t="shared" si="132"/>
        <v>#N/A</v>
      </c>
      <c r="DE47" s="108" t="e">
        <f t="shared" si="136"/>
        <v>#N/A</v>
      </c>
      <c r="DF47" s="190"/>
      <c r="DG47" s="174">
        <f t="shared" si="133"/>
        <v>0</v>
      </c>
    </row>
    <row r="48" spans="1:111" ht="19.95" customHeight="1">
      <c r="A48" s="176"/>
      <c r="B48" s="176"/>
      <c r="C48" s="176"/>
      <c r="D48" s="176"/>
      <c r="E48" s="176"/>
      <c r="F48" s="176"/>
      <c r="G48" s="176"/>
      <c r="H48" s="176"/>
      <c r="I48" s="255">
        <v>35</v>
      </c>
      <c r="J48" s="186"/>
      <c r="K48" s="91" t="s">
        <v>349</v>
      </c>
      <c r="L48" s="102"/>
      <c r="M48" s="268"/>
      <c r="N48" s="93"/>
      <c r="O48" s="90"/>
      <c r="P48" s="94"/>
      <c r="Q48" s="94"/>
      <c r="R48" s="6"/>
      <c r="S48" s="107">
        <f t="shared" si="86"/>
        <v>0</v>
      </c>
      <c r="T48" s="94"/>
      <c r="U48" s="11"/>
      <c r="V48" s="108">
        <f t="shared" si="87"/>
        <v>0</v>
      </c>
      <c r="W48" s="12"/>
      <c r="X48" s="109">
        <f t="shared" si="88"/>
        <v>0</v>
      </c>
      <c r="Y48" s="110">
        <f t="shared" si="89"/>
        <v>0</v>
      </c>
      <c r="Z48" s="95"/>
      <c r="AA48" s="95"/>
      <c r="AB48" s="95"/>
      <c r="AC48" s="95"/>
      <c r="AD48" s="95"/>
      <c r="AE48" s="95"/>
      <c r="AF48" s="94"/>
      <c r="AG48" s="111">
        <f t="shared" si="134"/>
        <v>0</v>
      </c>
      <c r="AH48" s="96"/>
      <c r="AI48" s="111">
        <f t="shared" si="135"/>
        <v>0</v>
      </c>
      <c r="AJ48" s="94"/>
      <c r="AK48" s="94"/>
      <c r="AL48" s="94"/>
      <c r="AM48" s="94"/>
      <c r="AN48" s="94"/>
      <c r="AO48" s="94"/>
      <c r="AP48" s="94"/>
      <c r="AQ48" s="97"/>
      <c r="AR48" s="94"/>
      <c r="AS48" s="94"/>
      <c r="AT48" s="94"/>
      <c r="AU48" s="94"/>
      <c r="AV48" s="97"/>
      <c r="AW48" s="97"/>
      <c r="AX48" s="94"/>
      <c r="AY48" s="94"/>
      <c r="AZ48" s="97"/>
      <c r="BA48" s="96"/>
      <c r="BB48" s="113" t="e">
        <f t="shared" si="90"/>
        <v>#N/A</v>
      </c>
      <c r="BC48" s="142">
        <f>SUMIFS(購入実績入力シート[購入数量],購入実績入力シート[対象月],'管理シート（本体）'!BB$8,購入実績入力シート[氏名],管理シート[[#This Row],[氏名]],購入実績入力シート[燃料別],管理シート[[#This Row],[燃料別]])</f>
        <v>0</v>
      </c>
      <c r="BD48" s="280" t="e">
        <f t="shared" si="91"/>
        <v>#N/A</v>
      </c>
      <c r="BE48" s="162" t="e">
        <f t="shared" si="92"/>
        <v>#N/A</v>
      </c>
      <c r="BF48" s="162" t="e">
        <f t="shared" si="93"/>
        <v>#N/A</v>
      </c>
      <c r="BG48" s="162" t="e">
        <f t="shared" si="94"/>
        <v>#N/A</v>
      </c>
      <c r="BH48" s="142" t="e">
        <f t="shared" si="95"/>
        <v>#N/A</v>
      </c>
      <c r="BI48" s="144">
        <f>SUMIFS(購入実績入力シート[購入数量],購入実績入力シート[対象月],'管理シート（本体）'!BH$8,購入実績入力シート[氏名],管理シート[[#This Row],[氏名]],購入実績入力シート[燃料別],管理シート[[#This Row],[燃料別]])</f>
        <v>0</v>
      </c>
      <c r="BJ48" s="280" t="e">
        <f t="shared" si="96"/>
        <v>#N/A</v>
      </c>
      <c r="BK48" s="162" t="e">
        <f t="shared" si="57"/>
        <v>#N/A</v>
      </c>
      <c r="BL48" s="162" t="e">
        <f t="shared" si="97"/>
        <v>#N/A</v>
      </c>
      <c r="BM48" s="162" t="e">
        <f t="shared" si="98"/>
        <v>#N/A</v>
      </c>
      <c r="BN48" s="142" t="e">
        <f t="shared" si="99"/>
        <v>#N/A</v>
      </c>
      <c r="BO48" s="144">
        <f>SUMIFS(購入実績入力シート[購入数量],購入実績入力シート[対象月],'管理シート（本体）'!BN$8,購入実績入力シート[氏名],管理シート[[#This Row],[氏名]],購入実績入力シート[燃料別],管理シート[[#This Row],[燃料別]])</f>
        <v>0</v>
      </c>
      <c r="BP48" s="280" t="e">
        <f t="shared" si="100"/>
        <v>#N/A</v>
      </c>
      <c r="BQ48" s="162" t="e">
        <f t="shared" si="101"/>
        <v>#N/A</v>
      </c>
      <c r="BR48" s="162" t="e">
        <f t="shared" si="102"/>
        <v>#N/A</v>
      </c>
      <c r="BS48" s="162" t="e">
        <f t="shared" si="103"/>
        <v>#N/A</v>
      </c>
      <c r="BT48" s="142" t="e">
        <f t="shared" si="104"/>
        <v>#N/A</v>
      </c>
      <c r="BU48" s="144">
        <f>SUMIFS(購入実績入力シート[購入数量],購入実績入力シート[対象月],'管理シート（本体）'!BT$8,購入実績入力シート[氏名],管理シート[[#This Row],[氏名]],購入実績入力シート[燃料別],管理シート[[#This Row],[燃料別]])</f>
        <v>0</v>
      </c>
      <c r="BV48" s="114" t="e">
        <f t="shared" si="105"/>
        <v>#N/A</v>
      </c>
      <c r="BW48" s="162" t="e">
        <f t="shared" si="106"/>
        <v>#N/A</v>
      </c>
      <c r="BX48" s="162" t="e">
        <f t="shared" si="107"/>
        <v>#N/A</v>
      </c>
      <c r="BY48" s="162" t="e">
        <f t="shared" si="108"/>
        <v>#N/A</v>
      </c>
      <c r="BZ48" s="142" t="e">
        <f t="shared" si="109"/>
        <v>#N/A</v>
      </c>
      <c r="CA48" s="144">
        <f>SUMIFS(購入実績入力シート[購入数量],購入実績入力シート[対象月],'管理シート（本体）'!BZ$8,購入実績入力シート[氏名],管理シート[[#This Row],[氏名]],購入実績入力シート[燃料別],管理シート[[#This Row],[燃料別]])</f>
        <v>0</v>
      </c>
      <c r="CB48" s="114" t="e">
        <f t="shared" si="110"/>
        <v>#N/A</v>
      </c>
      <c r="CC48" s="162" t="e">
        <f t="shared" si="39"/>
        <v>#N/A</v>
      </c>
      <c r="CD48" s="162" t="e">
        <f t="shared" si="111"/>
        <v>#N/A</v>
      </c>
      <c r="CE48" s="162" t="e">
        <f t="shared" si="112"/>
        <v>#N/A</v>
      </c>
      <c r="CF48" s="142" t="e">
        <f t="shared" si="113"/>
        <v>#N/A</v>
      </c>
      <c r="CG48" s="144">
        <f>SUMIFS(購入実績入力シート[購入数量],購入実績入力シート[対象月],'管理シート（本体）'!CF$8,購入実績入力シート[氏名],管理シート[[#This Row],[氏名]],購入実績入力シート[燃料別],管理シート[[#This Row],[燃料別]])</f>
        <v>0</v>
      </c>
      <c r="CH48" s="114" t="e">
        <f t="shared" si="114"/>
        <v>#N/A</v>
      </c>
      <c r="CI48" s="162" t="e">
        <f t="shared" si="115"/>
        <v>#N/A</v>
      </c>
      <c r="CJ48" s="162" t="e">
        <f t="shared" si="116"/>
        <v>#N/A</v>
      </c>
      <c r="CK48" s="162" t="e">
        <f t="shared" si="117"/>
        <v>#N/A</v>
      </c>
      <c r="CL48" s="142" t="e">
        <f t="shared" si="118"/>
        <v>#N/A</v>
      </c>
      <c r="CM48" s="144">
        <f>SUMIFS(購入実績入力シート[購入数量],購入実績入力シート[対象月],'管理シート（本体）'!CL$8,購入実績入力シート[氏名],管理シート[[#This Row],[氏名]],購入実績入力シート[燃料別],管理シート[[#This Row],[燃料別]])</f>
        <v>0</v>
      </c>
      <c r="CN48" s="114" t="e">
        <f t="shared" si="119"/>
        <v>#N/A</v>
      </c>
      <c r="CO48" s="162" t="e">
        <f t="shared" si="120"/>
        <v>#N/A</v>
      </c>
      <c r="CP48" s="162" t="e">
        <f t="shared" si="121"/>
        <v>#N/A</v>
      </c>
      <c r="CQ48" s="162" t="e">
        <f t="shared" si="122"/>
        <v>#N/A</v>
      </c>
      <c r="CR48" s="142" t="e">
        <f t="shared" si="123"/>
        <v>#N/A</v>
      </c>
      <c r="CS48" s="144">
        <f>SUMIFS(購入実績入力シート[購入数量],購入実績入力シート[対象月],'管理シート（本体）'!CR$8,購入実績入力シート[氏名],管理シート[[#This Row],[氏名]],購入実績入力シート[燃料別],管理シート[[#This Row],[燃料別]])</f>
        <v>0</v>
      </c>
      <c r="CT48" s="114" t="e">
        <f t="shared" si="124"/>
        <v>#N/A</v>
      </c>
      <c r="CU48" s="162" t="e">
        <f t="shared" si="125"/>
        <v>#N/A</v>
      </c>
      <c r="CV48" s="162" t="e">
        <f t="shared" si="126"/>
        <v>#N/A</v>
      </c>
      <c r="CW48" s="162" t="e">
        <f t="shared" si="127"/>
        <v>#N/A</v>
      </c>
      <c r="CX48" s="142" t="e">
        <f t="shared" si="128"/>
        <v>#N/A</v>
      </c>
      <c r="CY48" s="144">
        <f>SUMIFS(購入実績入力シート[購入数量],購入実績入力シート[対象月],'管理シート（本体）'!CX$8,購入実績入力シート[氏名],管理シート[[#This Row],[氏名]],購入実績入力シート[燃料別],管理シート[[#This Row],[燃料別]])</f>
        <v>0</v>
      </c>
      <c r="CZ48" s="114" t="e">
        <f t="shared" si="129"/>
        <v>#N/A</v>
      </c>
      <c r="DA48" s="162" t="e">
        <f t="shared" si="49"/>
        <v>#N/A</v>
      </c>
      <c r="DB48" s="162" t="e">
        <f t="shared" si="130"/>
        <v>#N/A</v>
      </c>
      <c r="DC48" s="162" t="e">
        <f t="shared" si="131"/>
        <v>#N/A</v>
      </c>
      <c r="DD48" s="108" t="e">
        <f t="shared" si="132"/>
        <v>#N/A</v>
      </c>
      <c r="DE48" s="108" t="e">
        <f t="shared" si="136"/>
        <v>#N/A</v>
      </c>
      <c r="DF48" s="190"/>
      <c r="DG48" s="174">
        <f t="shared" si="133"/>
        <v>0</v>
      </c>
    </row>
    <row r="49" spans="1:111" ht="19.95" customHeight="1">
      <c r="A49" s="176"/>
      <c r="B49" s="176"/>
      <c r="C49" s="176"/>
      <c r="D49" s="176"/>
      <c r="E49" s="176"/>
      <c r="F49" s="176"/>
      <c r="G49" s="176"/>
      <c r="H49" s="176"/>
      <c r="I49" s="90">
        <v>36</v>
      </c>
      <c r="J49" s="186"/>
      <c r="K49" s="91" t="s">
        <v>350</v>
      </c>
      <c r="L49" s="102"/>
      <c r="M49" s="268"/>
      <c r="N49" s="93"/>
      <c r="O49" s="90"/>
      <c r="P49" s="94"/>
      <c r="Q49" s="94"/>
      <c r="R49" s="6"/>
      <c r="S49" s="107">
        <f t="shared" si="86"/>
        <v>0</v>
      </c>
      <c r="T49" s="94"/>
      <c r="U49" s="11"/>
      <c r="V49" s="108">
        <f t="shared" si="87"/>
        <v>0</v>
      </c>
      <c r="W49" s="12"/>
      <c r="X49" s="109">
        <f t="shared" si="88"/>
        <v>0</v>
      </c>
      <c r="Y49" s="110">
        <f t="shared" si="89"/>
        <v>0</v>
      </c>
      <c r="Z49" s="95"/>
      <c r="AA49" s="95"/>
      <c r="AB49" s="95"/>
      <c r="AC49" s="95"/>
      <c r="AD49" s="95"/>
      <c r="AE49" s="95"/>
      <c r="AF49" s="94"/>
      <c r="AG49" s="111">
        <f t="shared" si="134"/>
        <v>0</v>
      </c>
      <c r="AH49" s="96"/>
      <c r="AI49" s="111">
        <f t="shared" si="135"/>
        <v>0</v>
      </c>
      <c r="AJ49" s="94"/>
      <c r="AK49" s="94"/>
      <c r="AL49" s="94"/>
      <c r="AM49" s="94"/>
      <c r="AN49" s="94"/>
      <c r="AO49" s="94"/>
      <c r="AP49" s="94"/>
      <c r="AQ49" s="97"/>
      <c r="AR49" s="94"/>
      <c r="AS49" s="94"/>
      <c r="AT49" s="94"/>
      <c r="AU49" s="94"/>
      <c r="AV49" s="97"/>
      <c r="AW49" s="97"/>
      <c r="AX49" s="94"/>
      <c r="AY49" s="94"/>
      <c r="AZ49" s="97"/>
      <c r="BA49" s="96"/>
      <c r="BB49" s="113" t="e">
        <f t="shared" si="90"/>
        <v>#N/A</v>
      </c>
      <c r="BC49" s="142">
        <f>SUMIFS(購入実績入力シート[購入数量],購入実績入力シート[対象月],'管理シート（本体）'!BB$8,購入実績入力シート[氏名],管理シート[[#This Row],[氏名]],購入実績入力シート[燃料別],管理シート[[#This Row],[燃料別]])</f>
        <v>0</v>
      </c>
      <c r="BD49" s="280" t="e">
        <f t="shared" si="91"/>
        <v>#N/A</v>
      </c>
      <c r="BE49" s="162" t="e">
        <f t="shared" si="92"/>
        <v>#N/A</v>
      </c>
      <c r="BF49" s="162" t="e">
        <f t="shared" si="93"/>
        <v>#N/A</v>
      </c>
      <c r="BG49" s="162" t="e">
        <f t="shared" si="94"/>
        <v>#N/A</v>
      </c>
      <c r="BH49" s="142" t="e">
        <f t="shared" si="95"/>
        <v>#N/A</v>
      </c>
      <c r="BI49" s="144">
        <f>SUMIFS(購入実績入力シート[購入数量],購入実績入力シート[対象月],'管理シート（本体）'!BH$8,購入実績入力シート[氏名],管理シート[[#This Row],[氏名]],購入実績入力シート[燃料別],管理シート[[#This Row],[燃料別]])</f>
        <v>0</v>
      </c>
      <c r="BJ49" s="280" t="e">
        <f t="shared" si="96"/>
        <v>#N/A</v>
      </c>
      <c r="BK49" s="162" t="e">
        <f t="shared" si="57"/>
        <v>#N/A</v>
      </c>
      <c r="BL49" s="162" t="e">
        <f t="shared" si="97"/>
        <v>#N/A</v>
      </c>
      <c r="BM49" s="162" t="e">
        <f t="shared" si="98"/>
        <v>#N/A</v>
      </c>
      <c r="BN49" s="142" t="e">
        <f t="shared" si="99"/>
        <v>#N/A</v>
      </c>
      <c r="BO49" s="144">
        <f>SUMIFS(購入実績入力シート[購入数量],購入実績入力シート[対象月],'管理シート（本体）'!BN$8,購入実績入力シート[氏名],管理シート[[#This Row],[氏名]],購入実績入力シート[燃料別],管理シート[[#This Row],[燃料別]])</f>
        <v>0</v>
      </c>
      <c r="BP49" s="280" t="e">
        <f t="shared" si="100"/>
        <v>#N/A</v>
      </c>
      <c r="BQ49" s="162" t="e">
        <f t="shared" si="101"/>
        <v>#N/A</v>
      </c>
      <c r="BR49" s="162" t="e">
        <f t="shared" si="102"/>
        <v>#N/A</v>
      </c>
      <c r="BS49" s="162" t="e">
        <f t="shared" si="103"/>
        <v>#N/A</v>
      </c>
      <c r="BT49" s="142" t="e">
        <f t="shared" si="104"/>
        <v>#N/A</v>
      </c>
      <c r="BU49" s="144">
        <f>SUMIFS(購入実績入力シート[購入数量],購入実績入力シート[対象月],'管理シート（本体）'!BT$8,購入実績入力シート[氏名],管理シート[[#This Row],[氏名]],購入実績入力シート[燃料別],管理シート[[#This Row],[燃料別]])</f>
        <v>0</v>
      </c>
      <c r="BV49" s="114" t="e">
        <f t="shared" si="105"/>
        <v>#N/A</v>
      </c>
      <c r="BW49" s="162" t="e">
        <f t="shared" si="106"/>
        <v>#N/A</v>
      </c>
      <c r="BX49" s="162" t="e">
        <f t="shared" si="107"/>
        <v>#N/A</v>
      </c>
      <c r="BY49" s="162" t="e">
        <f t="shared" si="108"/>
        <v>#N/A</v>
      </c>
      <c r="BZ49" s="142" t="e">
        <f t="shared" si="109"/>
        <v>#N/A</v>
      </c>
      <c r="CA49" s="144">
        <f>SUMIFS(購入実績入力シート[購入数量],購入実績入力シート[対象月],'管理シート（本体）'!BZ$8,購入実績入力シート[氏名],管理シート[[#This Row],[氏名]],購入実績入力シート[燃料別],管理シート[[#This Row],[燃料別]])</f>
        <v>0</v>
      </c>
      <c r="CB49" s="114" t="e">
        <f t="shared" si="110"/>
        <v>#N/A</v>
      </c>
      <c r="CC49" s="162" t="e">
        <f t="shared" si="39"/>
        <v>#N/A</v>
      </c>
      <c r="CD49" s="162" t="e">
        <f t="shared" si="111"/>
        <v>#N/A</v>
      </c>
      <c r="CE49" s="162" t="e">
        <f t="shared" si="112"/>
        <v>#N/A</v>
      </c>
      <c r="CF49" s="142" t="e">
        <f t="shared" si="113"/>
        <v>#N/A</v>
      </c>
      <c r="CG49" s="144">
        <f>SUMIFS(購入実績入力シート[購入数量],購入実績入力シート[対象月],'管理シート（本体）'!CF$8,購入実績入力シート[氏名],管理シート[[#This Row],[氏名]],購入実績入力シート[燃料別],管理シート[[#This Row],[燃料別]])</f>
        <v>0</v>
      </c>
      <c r="CH49" s="114" t="e">
        <f t="shared" si="114"/>
        <v>#N/A</v>
      </c>
      <c r="CI49" s="162" t="e">
        <f t="shared" si="115"/>
        <v>#N/A</v>
      </c>
      <c r="CJ49" s="162" t="e">
        <f t="shared" si="116"/>
        <v>#N/A</v>
      </c>
      <c r="CK49" s="162" t="e">
        <f t="shared" si="117"/>
        <v>#N/A</v>
      </c>
      <c r="CL49" s="142" t="e">
        <f t="shared" si="118"/>
        <v>#N/A</v>
      </c>
      <c r="CM49" s="144">
        <f>SUMIFS(購入実績入力シート[購入数量],購入実績入力シート[対象月],'管理シート（本体）'!CL$8,購入実績入力シート[氏名],管理シート[[#This Row],[氏名]],購入実績入力シート[燃料別],管理シート[[#This Row],[燃料別]])</f>
        <v>0</v>
      </c>
      <c r="CN49" s="114" t="e">
        <f t="shared" si="119"/>
        <v>#N/A</v>
      </c>
      <c r="CO49" s="162" t="e">
        <f t="shared" si="120"/>
        <v>#N/A</v>
      </c>
      <c r="CP49" s="162" t="e">
        <f t="shared" si="121"/>
        <v>#N/A</v>
      </c>
      <c r="CQ49" s="162" t="e">
        <f t="shared" si="122"/>
        <v>#N/A</v>
      </c>
      <c r="CR49" s="142" t="e">
        <f t="shared" si="123"/>
        <v>#N/A</v>
      </c>
      <c r="CS49" s="144">
        <f>SUMIFS(購入実績入力シート[購入数量],購入実績入力シート[対象月],'管理シート（本体）'!CR$8,購入実績入力シート[氏名],管理シート[[#This Row],[氏名]],購入実績入力シート[燃料別],管理シート[[#This Row],[燃料別]])</f>
        <v>0</v>
      </c>
      <c r="CT49" s="114" t="e">
        <f t="shared" si="124"/>
        <v>#N/A</v>
      </c>
      <c r="CU49" s="162" t="e">
        <f t="shared" si="125"/>
        <v>#N/A</v>
      </c>
      <c r="CV49" s="162" t="e">
        <f t="shared" si="126"/>
        <v>#N/A</v>
      </c>
      <c r="CW49" s="162" t="e">
        <f t="shared" si="127"/>
        <v>#N/A</v>
      </c>
      <c r="CX49" s="142" t="e">
        <f t="shared" si="128"/>
        <v>#N/A</v>
      </c>
      <c r="CY49" s="144">
        <f>SUMIFS(購入実績入力シート[購入数量],購入実績入力シート[対象月],'管理シート（本体）'!CX$8,購入実績入力シート[氏名],管理シート[[#This Row],[氏名]],購入実績入力シート[燃料別],管理シート[[#This Row],[燃料別]])</f>
        <v>0</v>
      </c>
      <c r="CZ49" s="114" t="e">
        <f t="shared" si="129"/>
        <v>#N/A</v>
      </c>
      <c r="DA49" s="162" t="e">
        <f t="shared" si="49"/>
        <v>#N/A</v>
      </c>
      <c r="DB49" s="162" t="e">
        <f t="shared" si="130"/>
        <v>#N/A</v>
      </c>
      <c r="DC49" s="162" t="e">
        <f t="shared" si="131"/>
        <v>#N/A</v>
      </c>
      <c r="DD49" s="108" t="e">
        <f t="shared" si="132"/>
        <v>#N/A</v>
      </c>
      <c r="DE49" s="108" t="e">
        <f t="shared" si="136"/>
        <v>#N/A</v>
      </c>
      <c r="DF49" s="190"/>
      <c r="DG49" s="174">
        <f t="shared" si="133"/>
        <v>0</v>
      </c>
    </row>
    <row r="50" spans="1:111" ht="19.95" customHeight="1">
      <c r="A50" s="176"/>
      <c r="B50" s="176"/>
      <c r="C50" s="176"/>
      <c r="D50" s="176"/>
      <c r="E50" s="176"/>
      <c r="F50" s="176"/>
      <c r="G50" s="176"/>
      <c r="H50" s="176"/>
      <c r="I50" s="90">
        <v>37</v>
      </c>
      <c r="J50" s="186"/>
      <c r="K50" s="91" t="s">
        <v>351</v>
      </c>
      <c r="L50" s="102"/>
      <c r="M50" s="268"/>
      <c r="N50" s="93"/>
      <c r="O50" s="90"/>
      <c r="P50" s="94"/>
      <c r="Q50" s="94"/>
      <c r="R50" s="6"/>
      <c r="S50" s="107">
        <f t="shared" si="86"/>
        <v>0</v>
      </c>
      <c r="T50" s="94"/>
      <c r="U50" s="11"/>
      <c r="V50" s="108">
        <f t="shared" si="87"/>
        <v>0</v>
      </c>
      <c r="W50" s="12"/>
      <c r="X50" s="109">
        <f t="shared" si="88"/>
        <v>0</v>
      </c>
      <c r="Y50" s="110">
        <f t="shared" si="89"/>
        <v>0</v>
      </c>
      <c r="Z50" s="95"/>
      <c r="AA50" s="95"/>
      <c r="AB50" s="95"/>
      <c r="AC50" s="95"/>
      <c r="AD50" s="95"/>
      <c r="AE50" s="95"/>
      <c r="AF50" s="94"/>
      <c r="AG50" s="111">
        <f t="shared" si="134"/>
        <v>0</v>
      </c>
      <c r="AH50" s="96"/>
      <c r="AI50" s="111">
        <f t="shared" si="135"/>
        <v>0</v>
      </c>
      <c r="AJ50" s="94"/>
      <c r="AK50" s="94"/>
      <c r="AL50" s="94"/>
      <c r="AM50" s="94"/>
      <c r="AN50" s="94"/>
      <c r="AO50" s="94"/>
      <c r="AP50" s="94"/>
      <c r="AQ50" s="97"/>
      <c r="AR50" s="94"/>
      <c r="AS50" s="94"/>
      <c r="AT50" s="94"/>
      <c r="AU50" s="94"/>
      <c r="AV50" s="97"/>
      <c r="AW50" s="97"/>
      <c r="AX50" s="94"/>
      <c r="AY50" s="94"/>
      <c r="AZ50" s="97"/>
      <c r="BA50" s="96"/>
      <c r="BB50" s="113" t="e">
        <f t="shared" si="90"/>
        <v>#N/A</v>
      </c>
      <c r="BC50" s="142">
        <f>SUMIFS(購入実績入力シート[購入数量],購入実績入力シート[対象月],'管理シート（本体）'!BB$8,購入実績入力シート[氏名],管理シート[[#This Row],[氏名]],購入実績入力シート[燃料別],管理シート[[#This Row],[燃料別]])</f>
        <v>0</v>
      </c>
      <c r="BD50" s="280" t="e">
        <f t="shared" si="91"/>
        <v>#N/A</v>
      </c>
      <c r="BE50" s="162" t="e">
        <f t="shared" si="92"/>
        <v>#N/A</v>
      </c>
      <c r="BF50" s="162" t="e">
        <f t="shared" si="93"/>
        <v>#N/A</v>
      </c>
      <c r="BG50" s="162" t="e">
        <f t="shared" si="94"/>
        <v>#N/A</v>
      </c>
      <c r="BH50" s="142" t="e">
        <f t="shared" si="95"/>
        <v>#N/A</v>
      </c>
      <c r="BI50" s="144">
        <f>SUMIFS(購入実績入力シート[購入数量],購入実績入力シート[対象月],'管理シート（本体）'!BH$8,購入実績入力シート[氏名],管理シート[[#This Row],[氏名]],購入実績入力シート[燃料別],管理シート[[#This Row],[燃料別]])</f>
        <v>0</v>
      </c>
      <c r="BJ50" s="280" t="e">
        <f t="shared" si="96"/>
        <v>#N/A</v>
      </c>
      <c r="BK50" s="162" t="e">
        <f t="shared" si="57"/>
        <v>#N/A</v>
      </c>
      <c r="BL50" s="162" t="e">
        <f t="shared" si="97"/>
        <v>#N/A</v>
      </c>
      <c r="BM50" s="162" t="e">
        <f t="shared" si="98"/>
        <v>#N/A</v>
      </c>
      <c r="BN50" s="142" t="e">
        <f t="shared" si="99"/>
        <v>#N/A</v>
      </c>
      <c r="BO50" s="144">
        <f>SUMIFS(購入実績入力シート[購入数量],購入実績入力シート[対象月],'管理シート（本体）'!BN$8,購入実績入力シート[氏名],管理シート[[#This Row],[氏名]],購入実績入力シート[燃料別],管理シート[[#This Row],[燃料別]])</f>
        <v>0</v>
      </c>
      <c r="BP50" s="280" t="e">
        <f t="shared" si="100"/>
        <v>#N/A</v>
      </c>
      <c r="BQ50" s="162" t="e">
        <f t="shared" si="101"/>
        <v>#N/A</v>
      </c>
      <c r="BR50" s="162" t="e">
        <f t="shared" si="102"/>
        <v>#N/A</v>
      </c>
      <c r="BS50" s="162" t="e">
        <f t="shared" si="103"/>
        <v>#N/A</v>
      </c>
      <c r="BT50" s="142" t="e">
        <f t="shared" si="104"/>
        <v>#N/A</v>
      </c>
      <c r="BU50" s="144">
        <f>SUMIFS(購入実績入力シート[購入数量],購入実績入力シート[対象月],'管理シート（本体）'!BT$8,購入実績入力シート[氏名],管理シート[[#This Row],[氏名]],購入実績入力シート[燃料別],管理シート[[#This Row],[燃料別]])</f>
        <v>0</v>
      </c>
      <c r="BV50" s="114" t="e">
        <f t="shared" si="105"/>
        <v>#N/A</v>
      </c>
      <c r="BW50" s="162" t="e">
        <f t="shared" si="106"/>
        <v>#N/A</v>
      </c>
      <c r="BX50" s="162" t="e">
        <f t="shared" si="107"/>
        <v>#N/A</v>
      </c>
      <c r="BY50" s="162" t="e">
        <f t="shared" si="108"/>
        <v>#N/A</v>
      </c>
      <c r="BZ50" s="142" t="e">
        <f t="shared" si="109"/>
        <v>#N/A</v>
      </c>
      <c r="CA50" s="144">
        <f>SUMIFS(購入実績入力シート[購入数量],購入実績入力シート[対象月],'管理シート（本体）'!BZ$8,購入実績入力シート[氏名],管理シート[[#This Row],[氏名]],購入実績入力シート[燃料別],管理シート[[#This Row],[燃料別]])</f>
        <v>0</v>
      </c>
      <c r="CB50" s="114" t="e">
        <f t="shared" si="110"/>
        <v>#N/A</v>
      </c>
      <c r="CC50" s="162" t="e">
        <f t="shared" si="39"/>
        <v>#N/A</v>
      </c>
      <c r="CD50" s="162" t="e">
        <f t="shared" si="111"/>
        <v>#N/A</v>
      </c>
      <c r="CE50" s="162" t="e">
        <f t="shared" si="112"/>
        <v>#N/A</v>
      </c>
      <c r="CF50" s="142" t="e">
        <f t="shared" si="113"/>
        <v>#N/A</v>
      </c>
      <c r="CG50" s="144">
        <f>SUMIFS(購入実績入力シート[購入数量],購入実績入力シート[対象月],'管理シート（本体）'!CF$8,購入実績入力シート[氏名],管理シート[[#This Row],[氏名]],購入実績入力シート[燃料別],管理シート[[#This Row],[燃料別]])</f>
        <v>0</v>
      </c>
      <c r="CH50" s="114" t="e">
        <f t="shared" si="114"/>
        <v>#N/A</v>
      </c>
      <c r="CI50" s="162" t="e">
        <f t="shared" si="115"/>
        <v>#N/A</v>
      </c>
      <c r="CJ50" s="162" t="e">
        <f t="shared" si="116"/>
        <v>#N/A</v>
      </c>
      <c r="CK50" s="162" t="e">
        <f t="shared" si="117"/>
        <v>#N/A</v>
      </c>
      <c r="CL50" s="142" t="e">
        <f t="shared" si="118"/>
        <v>#N/A</v>
      </c>
      <c r="CM50" s="144">
        <f>SUMIFS(購入実績入力シート[購入数量],購入実績入力シート[対象月],'管理シート（本体）'!CL$8,購入実績入力シート[氏名],管理シート[[#This Row],[氏名]],購入実績入力シート[燃料別],管理シート[[#This Row],[燃料別]])</f>
        <v>0</v>
      </c>
      <c r="CN50" s="114" t="e">
        <f t="shared" si="119"/>
        <v>#N/A</v>
      </c>
      <c r="CO50" s="162" t="e">
        <f t="shared" si="120"/>
        <v>#N/A</v>
      </c>
      <c r="CP50" s="162" t="e">
        <f t="shared" si="121"/>
        <v>#N/A</v>
      </c>
      <c r="CQ50" s="162" t="e">
        <f t="shared" si="122"/>
        <v>#N/A</v>
      </c>
      <c r="CR50" s="142" t="e">
        <f t="shared" si="123"/>
        <v>#N/A</v>
      </c>
      <c r="CS50" s="144">
        <f>SUMIFS(購入実績入力シート[購入数量],購入実績入力シート[対象月],'管理シート（本体）'!CR$8,購入実績入力シート[氏名],管理シート[[#This Row],[氏名]],購入実績入力シート[燃料別],管理シート[[#This Row],[燃料別]])</f>
        <v>0</v>
      </c>
      <c r="CT50" s="114" t="e">
        <f t="shared" si="124"/>
        <v>#N/A</v>
      </c>
      <c r="CU50" s="162" t="e">
        <f t="shared" si="125"/>
        <v>#N/A</v>
      </c>
      <c r="CV50" s="162" t="e">
        <f t="shared" si="126"/>
        <v>#N/A</v>
      </c>
      <c r="CW50" s="162" t="e">
        <f t="shared" si="127"/>
        <v>#N/A</v>
      </c>
      <c r="CX50" s="142" t="e">
        <f t="shared" si="128"/>
        <v>#N/A</v>
      </c>
      <c r="CY50" s="144">
        <f>SUMIFS(購入実績入力シート[購入数量],購入実績入力シート[対象月],'管理シート（本体）'!CX$8,購入実績入力シート[氏名],管理シート[[#This Row],[氏名]],購入実績入力シート[燃料別],管理シート[[#This Row],[燃料別]])</f>
        <v>0</v>
      </c>
      <c r="CZ50" s="114" t="e">
        <f t="shared" si="129"/>
        <v>#N/A</v>
      </c>
      <c r="DA50" s="162" t="e">
        <f t="shared" si="49"/>
        <v>#N/A</v>
      </c>
      <c r="DB50" s="162" t="e">
        <f t="shared" si="130"/>
        <v>#N/A</v>
      </c>
      <c r="DC50" s="162" t="e">
        <f t="shared" si="131"/>
        <v>#N/A</v>
      </c>
      <c r="DD50" s="108" t="e">
        <f t="shared" si="132"/>
        <v>#N/A</v>
      </c>
      <c r="DE50" s="108" t="e">
        <f t="shared" si="136"/>
        <v>#N/A</v>
      </c>
      <c r="DF50" s="190"/>
      <c r="DG50" s="174">
        <f t="shared" si="133"/>
        <v>0</v>
      </c>
    </row>
    <row r="51" spans="1:111" ht="19.95" customHeight="1">
      <c r="A51" s="176"/>
      <c r="B51" s="176"/>
      <c r="C51" s="176"/>
      <c r="D51" s="176"/>
      <c r="E51" s="176"/>
      <c r="F51" s="176"/>
      <c r="G51" s="176"/>
      <c r="H51" s="176"/>
      <c r="I51" s="90">
        <v>38</v>
      </c>
      <c r="J51" s="186"/>
      <c r="K51" s="91" t="s">
        <v>352</v>
      </c>
      <c r="L51" s="102"/>
      <c r="M51" s="268"/>
      <c r="N51" s="93"/>
      <c r="O51" s="90"/>
      <c r="P51" s="94"/>
      <c r="Q51" s="94"/>
      <c r="R51" s="6"/>
      <c r="S51" s="107">
        <f t="shared" si="86"/>
        <v>0</v>
      </c>
      <c r="T51" s="94"/>
      <c r="U51" s="11"/>
      <c r="V51" s="108">
        <f t="shared" si="87"/>
        <v>0</v>
      </c>
      <c r="W51" s="12"/>
      <c r="X51" s="109">
        <f t="shared" si="88"/>
        <v>0</v>
      </c>
      <c r="Y51" s="110">
        <f t="shared" si="89"/>
        <v>0</v>
      </c>
      <c r="Z51" s="95"/>
      <c r="AA51" s="95"/>
      <c r="AB51" s="95"/>
      <c r="AC51" s="95"/>
      <c r="AD51" s="95"/>
      <c r="AE51" s="95"/>
      <c r="AF51" s="94"/>
      <c r="AG51" s="111">
        <f t="shared" si="134"/>
        <v>0</v>
      </c>
      <c r="AH51" s="96"/>
      <c r="AI51" s="111">
        <f t="shared" si="135"/>
        <v>0</v>
      </c>
      <c r="AJ51" s="94"/>
      <c r="AK51" s="94"/>
      <c r="AL51" s="94"/>
      <c r="AM51" s="94"/>
      <c r="AN51" s="94"/>
      <c r="AO51" s="94"/>
      <c r="AP51" s="94"/>
      <c r="AQ51" s="97"/>
      <c r="AR51" s="94"/>
      <c r="AS51" s="94"/>
      <c r="AT51" s="94"/>
      <c r="AU51" s="94"/>
      <c r="AV51" s="97"/>
      <c r="AW51" s="97"/>
      <c r="AX51" s="94"/>
      <c r="AY51" s="94"/>
      <c r="AZ51" s="97"/>
      <c r="BA51" s="96"/>
      <c r="BB51" s="113" t="e">
        <f t="shared" si="90"/>
        <v>#N/A</v>
      </c>
      <c r="BC51" s="142">
        <f>SUMIFS(購入実績入力シート[購入数量],購入実績入力シート[対象月],'管理シート（本体）'!BB$8,購入実績入力シート[氏名],管理シート[[#This Row],[氏名]],購入実績入力シート[燃料別],管理シート[[#This Row],[燃料別]])</f>
        <v>0</v>
      </c>
      <c r="BD51" s="280" t="e">
        <f t="shared" si="91"/>
        <v>#N/A</v>
      </c>
      <c r="BE51" s="162" t="e">
        <f t="shared" si="92"/>
        <v>#N/A</v>
      </c>
      <c r="BF51" s="162" t="e">
        <f t="shared" si="93"/>
        <v>#N/A</v>
      </c>
      <c r="BG51" s="162" t="e">
        <f t="shared" si="94"/>
        <v>#N/A</v>
      </c>
      <c r="BH51" s="142" t="e">
        <f t="shared" si="95"/>
        <v>#N/A</v>
      </c>
      <c r="BI51" s="144">
        <f>SUMIFS(購入実績入力シート[購入数量],購入実績入力シート[対象月],'管理シート（本体）'!BH$8,購入実績入力シート[氏名],管理シート[[#This Row],[氏名]],購入実績入力シート[燃料別],管理シート[[#This Row],[燃料別]])</f>
        <v>0</v>
      </c>
      <c r="BJ51" s="280" t="e">
        <f t="shared" si="96"/>
        <v>#N/A</v>
      </c>
      <c r="BK51" s="162" t="e">
        <f t="shared" si="57"/>
        <v>#N/A</v>
      </c>
      <c r="BL51" s="162" t="e">
        <f t="shared" si="97"/>
        <v>#N/A</v>
      </c>
      <c r="BM51" s="162" t="e">
        <f t="shared" si="98"/>
        <v>#N/A</v>
      </c>
      <c r="BN51" s="142" t="e">
        <f t="shared" si="99"/>
        <v>#N/A</v>
      </c>
      <c r="BO51" s="144">
        <f>SUMIFS(購入実績入力シート[購入数量],購入実績入力シート[対象月],'管理シート（本体）'!BN$8,購入実績入力シート[氏名],管理シート[[#This Row],[氏名]],購入実績入力シート[燃料別],管理シート[[#This Row],[燃料別]])</f>
        <v>0</v>
      </c>
      <c r="BP51" s="280" t="e">
        <f t="shared" si="100"/>
        <v>#N/A</v>
      </c>
      <c r="BQ51" s="162" t="e">
        <f t="shared" si="101"/>
        <v>#N/A</v>
      </c>
      <c r="BR51" s="162" t="e">
        <f t="shared" si="102"/>
        <v>#N/A</v>
      </c>
      <c r="BS51" s="162" t="e">
        <f t="shared" si="103"/>
        <v>#N/A</v>
      </c>
      <c r="BT51" s="142" t="e">
        <f t="shared" si="104"/>
        <v>#N/A</v>
      </c>
      <c r="BU51" s="144">
        <f>SUMIFS(購入実績入力シート[購入数量],購入実績入力シート[対象月],'管理シート（本体）'!BT$8,購入実績入力シート[氏名],管理シート[[#This Row],[氏名]],購入実績入力シート[燃料別],管理シート[[#This Row],[燃料別]])</f>
        <v>0</v>
      </c>
      <c r="BV51" s="114" t="e">
        <f t="shared" si="105"/>
        <v>#N/A</v>
      </c>
      <c r="BW51" s="162" t="e">
        <f t="shared" si="106"/>
        <v>#N/A</v>
      </c>
      <c r="BX51" s="162" t="e">
        <f t="shared" si="107"/>
        <v>#N/A</v>
      </c>
      <c r="BY51" s="162" t="e">
        <f t="shared" si="108"/>
        <v>#N/A</v>
      </c>
      <c r="BZ51" s="142" t="e">
        <f t="shared" si="109"/>
        <v>#N/A</v>
      </c>
      <c r="CA51" s="144">
        <f>SUMIFS(購入実績入力シート[購入数量],購入実績入力シート[対象月],'管理シート（本体）'!BZ$8,購入実績入力シート[氏名],管理シート[[#This Row],[氏名]],購入実績入力シート[燃料別],管理シート[[#This Row],[燃料別]])</f>
        <v>0</v>
      </c>
      <c r="CB51" s="114" t="e">
        <f t="shared" si="110"/>
        <v>#N/A</v>
      </c>
      <c r="CC51" s="162" t="e">
        <f t="shared" si="39"/>
        <v>#N/A</v>
      </c>
      <c r="CD51" s="162" t="e">
        <f t="shared" si="111"/>
        <v>#N/A</v>
      </c>
      <c r="CE51" s="162" t="e">
        <f t="shared" si="112"/>
        <v>#N/A</v>
      </c>
      <c r="CF51" s="142" t="e">
        <f t="shared" si="113"/>
        <v>#N/A</v>
      </c>
      <c r="CG51" s="144">
        <f>SUMIFS(購入実績入力シート[購入数量],購入実績入力シート[対象月],'管理シート（本体）'!CF$8,購入実績入力シート[氏名],管理シート[[#This Row],[氏名]],購入実績入力シート[燃料別],管理シート[[#This Row],[燃料別]])</f>
        <v>0</v>
      </c>
      <c r="CH51" s="114" t="e">
        <f t="shared" si="114"/>
        <v>#N/A</v>
      </c>
      <c r="CI51" s="162" t="e">
        <f t="shared" si="115"/>
        <v>#N/A</v>
      </c>
      <c r="CJ51" s="162" t="e">
        <f t="shared" si="116"/>
        <v>#N/A</v>
      </c>
      <c r="CK51" s="162" t="e">
        <f t="shared" si="117"/>
        <v>#N/A</v>
      </c>
      <c r="CL51" s="142" t="e">
        <f t="shared" si="118"/>
        <v>#N/A</v>
      </c>
      <c r="CM51" s="144">
        <f>SUMIFS(購入実績入力シート[購入数量],購入実績入力シート[対象月],'管理シート（本体）'!CL$8,購入実績入力シート[氏名],管理シート[[#This Row],[氏名]],購入実績入力シート[燃料別],管理シート[[#This Row],[燃料別]])</f>
        <v>0</v>
      </c>
      <c r="CN51" s="114" t="e">
        <f t="shared" si="119"/>
        <v>#N/A</v>
      </c>
      <c r="CO51" s="162" t="e">
        <f t="shared" si="120"/>
        <v>#N/A</v>
      </c>
      <c r="CP51" s="162" t="e">
        <f t="shared" si="121"/>
        <v>#N/A</v>
      </c>
      <c r="CQ51" s="162" t="e">
        <f t="shared" si="122"/>
        <v>#N/A</v>
      </c>
      <c r="CR51" s="142" t="e">
        <f t="shared" si="123"/>
        <v>#N/A</v>
      </c>
      <c r="CS51" s="144">
        <f>SUMIFS(購入実績入力シート[購入数量],購入実績入力シート[対象月],'管理シート（本体）'!CR$8,購入実績入力シート[氏名],管理シート[[#This Row],[氏名]],購入実績入力シート[燃料別],管理シート[[#This Row],[燃料別]])</f>
        <v>0</v>
      </c>
      <c r="CT51" s="114" t="e">
        <f t="shared" si="124"/>
        <v>#N/A</v>
      </c>
      <c r="CU51" s="162" t="e">
        <f t="shared" si="125"/>
        <v>#N/A</v>
      </c>
      <c r="CV51" s="162" t="e">
        <f t="shared" si="126"/>
        <v>#N/A</v>
      </c>
      <c r="CW51" s="162" t="e">
        <f t="shared" si="127"/>
        <v>#N/A</v>
      </c>
      <c r="CX51" s="142" t="e">
        <f t="shared" si="128"/>
        <v>#N/A</v>
      </c>
      <c r="CY51" s="144">
        <f>SUMIFS(購入実績入力シート[購入数量],購入実績入力シート[対象月],'管理シート（本体）'!CX$8,購入実績入力シート[氏名],管理シート[[#This Row],[氏名]],購入実績入力シート[燃料別],管理シート[[#This Row],[燃料別]])</f>
        <v>0</v>
      </c>
      <c r="CZ51" s="114" t="e">
        <f t="shared" si="129"/>
        <v>#N/A</v>
      </c>
      <c r="DA51" s="162" t="e">
        <f t="shared" si="49"/>
        <v>#N/A</v>
      </c>
      <c r="DB51" s="162" t="e">
        <f t="shared" si="130"/>
        <v>#N/A</v>
      </c>
      <c r="DC51" s="162" t="e">
        <f t="shared" si="131"/>
        <v>#N/A</v>
      </c>
      <c r="DD51" s="108" t="e">
        <f t="shared" si="132"/>
        <v>#N/A</v>
      </c>
      <c r="DE51" s="108" t="e">
        <f t="shared" si="136"/>
        <v>#N/A</v>
      </c>
      <c r="DF51" s="190"/>
      <c r="DG51" s="174">
        <f t="shared" si="133"/>
        <v>0</v>
      </c>
    </row>
    <row r="52" spans="1:111" ht="19.95" customHeight="1">
      <c r="A52" s="176"/>
      <c r="B52" s="176"/>
      <c r="C52" s="176"/>
      <c r="D52" s="176"/>
      <c r="E52" s="176"/>
      <c r="F52" s="176"/>
      <c r="G52" s="176"/>
      <c r="H52" s="176"/>
      <c r="I52" s="255">
        <v>39</v>
      </c>
      <c r="J52" s="186"/>
      <c r="K52" s="91" t="s">
        <v>353</v>
      </c>
      <c r="L52" s="102"/>
      <c r="M52" s="268"/>
      <c r="N52" s="93"/>
      <c r="O52" s="90"/>
      <c r="P52" s="94"/>
      <c r="Q52" s="94"/>
      <c r="R52" s="6"/>
      <c r="S52" s="107">
        <f t="shared" si="86"/>
        <v>0</v>
      </c>
      <c r="T52" s="94"/>
      <c r="U52" s="11"/>
      <c r="V52" s="108">
        <f t="shared" si="87"/>
        <v>0</v>
      </c>
      <c r="W52" s="12"/>
      <c r="X52" s="109">
        <f t="shared" si="88"/>
        <v>0</v>
      </c>
      <c r="Y52" s="110">
        <f t="shared" si="89"/>
        <v>0</v>
      </c>
      <c r="Z52" s="95"/>
      <c r="AA52" s="95"/>
      <c r="AB52" s="95"/>
      <c r="AC52" s="95"/>
      <c r="AD52" s="95"/>
      <c r="AE52" s="95"/>
      <c r="AF52" s="94"/>
      <c r="AG52" s="111">
        <f t="shared" si="134"/>
        <v>0</v>
      </c>
      <c r="AH52" s="96"/>
      <c r="AI52" s="111">
        <f t="shared" si="135"/>
        <v>0</v>
      </c>
      <c r="AJ52" s="94"/>
      <c r="AK52" s="94"/>
      <c r="AL52" s="94"/>
      <c r="AM52" s="94"/>
      <c r="AN52" s="94"/>
      <c r="AO52" s="94"/>
      <c r="AP52" s="94"/>
      <c r="AQ52" s="97"/>
      <c r="AR52" s="94"/>
      <c r="AS52" s="94"/>
      <c r="AT52" s="94"/>
      <c r="AU52" s="94"/>
      <c r="AV52" s="97"/>
      <c r="AW52" s="97"/>
      <c r="AX52" s="94"/>
      <c r="AY52" s="94"/>
      <c r="AZ52" s="97"/>
      <c r="BA52" s="96"/>
      <c r="BB52" s="113" t="e">
        <f t="shared" si="90"/>
        <v>#N/A</v>
      </c>
      <c r="BC52" s="142">
        <f>SUMIFS(購入実績入力シート[購入数量],購入実績入力シート[対象月],'管理シート（本体）'!BB$8,購入実績入力シート[氏名],管理シート[[#This Row],[氏名]],購入実績入力シート[燃料別],管理シート[[#This Row],[燃料別]])</f>
        <v>0</v>
      </c>
      <c r="BD52" s="280" t="e">
        <f t="shared" si="91"/>
        <v>#N/A</v>
      </c>
      <c r="BE52" s="162" t="e">
        <f t="shared" si="92"/>
        <v>#N/A</v>
      </c>
      <c r="BF52" s="162" t="e">
        <f t="shared" si="93"/>
        <v>#N/A</v>
      </c>
      <c r="BG52" s="162" t="e">
        <f t="shared" si="94"/>
        <v>#N/A</v>
      </c>
      <c r="BH52" s="142" t="e">
        <f t="shared" si="95"/>
        <v>#N/A</v>
      </c>
      <c r="BI52" s="144">
        <f>SUMIFS(購入実績入力シート[購入数量],購入実績入力シート[対象月],'管理シート（本体）'!BH$8,購入実績入力シート[氏名],管理シート[[#This Row],[氏名]],購入実績入力シート[燃料別],管理シート[[#This Row],[燃料別]])</f>
        <v>0</v>
      </c>
      <c r="BJ52" s="280" t="e">
        <f t="shared" si="96"/>
        <v>#N/A</v>
      </c>
      <c r="BK52" s="162" t="e">
        <f t="shared" si="57"/>
        <v>#N/A</v>
      </c>
      <c r="BL52" s="162" t="e">
        <f t="shared" si="97"/>
        <v>#N/A</v>
      </c>
      <c r="BM52" s="162" t="e">
        <f t="shared" si="98"/>
        <v>#N/A</v>
      </c>
      <c r="BN52" s="142" t="e">
        <f t="shared" si="99"/>
        <v>#N/A</v>
      </c>
      <c r="BO52" s="144">
        <f>SUMIFS(購入実績入力シート[購入数量],購入実績入力シート[対象月],'管理シート（本体）'!BN$8,購入実績入力シート[氏名],管理シート[[#This Row],[氏名]],購入実績入力シート[燃料別],管理シート[[#This Row],[燃料別]])</f>
        <v>0</v>
      </c>
      <c r="BP52" s="280" t="e">
        <f t="shared" si="100"/>
        <v>#N/A</v>
      </c>
      <c r="BQ52" s="162" t="e">
        <f t="shared" si="101"/>
        <v>#N/A</v>
      </c>
      <c r="BR52" s="162" t="e">
        <f t="shared" si="102"/>
        <v>#N/A</v>
      </c>
      <c r="BS52" s="162" t="e">
        <f t="shared" si="103"/>
        <v>#N/A</v>
      </c>
      <c r="BT52" s="142" t="e">
        <f t="shared" si="104"/>
        <v>#N/A</v>
      </c>
      <c r="BU52" s="144">
        <f>SUMIFS(購入実績入力シート[購入数量],購入実績入力シート[対象月],'管理シート（本体）'!BT$8,購入実績入力シート[氏名],管理シート[[#This Row],[氏名]],購入実績入力シート[燃料別],管理シート[[#This Row],[燃料別]])</f>
        <v>0</v>
      </c>
      <c r="BV52" s="114" t="e">
        <f t="shared" si="105"/>
        <v>#N/A</v>
      </c>
      <c r="BW52" s="162" t="e">
        <f t="shared" si="106"/>
        <v>#N/A</v>
      </c>
      <c r="BX52" s="162" t="e">
        <f t="shared" si="107"/>
        <v>#N/A</v>
      </c>
      <c r="BY52" s="162" t="e">
        <f t="shared" si="108"/>
        <v>#N/A</v>
      </c>
      <c r="BZ52" s="142" t="e">
        <f t="shared" si="109"/>
        <v>#N/A</v>
      </c>
      <c r="CA52" s="144">
        <f>SUMIFS(購入実績入力シート[購入数量],購入実績入力シート[対象月],'管理シート（本体）'!BZ$8,購入実績入力シート[氏名],管理シート[[#This Row],[氏名]],購入実績入力シート[燃料別],管理シート[[#This Row],[燃料別]])</f>
        <v>0</v>
      </c>
      <c r="CB52" s="114" t="e">
        <f t="shared" si="110"/>
        <v>#N/A</v>
      </c>
      <c r="CC52" s="162" t="e">
        <f t="shared" si="39"/>
        <v>#N/A</v>
      </c>
      <c r="CD52" s="162" t="e">
        <f t="shared" si="111"/>
        <v>#N/A</v>
      </c>
      <c r="CE52" s="162" t="e">
        <f t="shared" si="112"/>
        <v>#N/A</v>
      </c>
      <c r="CF52" s="142" t="e">
        <f t="shared" si="113"/>
        <v>#N/A</v>
      </c>
      <c r="CG52" s="144">
        <f>SUMIFS(購入実績入力シート[購入数量],購入実績入力シート[対象月],'管理シート（本体）'!CF$8,購入実績入力シート[氏名],管理シート[[#This Row],[氏名]],購入実績入力シート[燃料別],管理シート[[#This Row],[燃料別]])</f>
        <v>0</v>
      </c>
      <c r="CH52" s="114" t="e">
        <f t="shared" si="114"/>
        <v>#N/A</v>
      </c>
      <c r="CI52" s="162" t="e">
        <f t="shared" si="115"/>
        <v>#N/A</v>
      </c>
      <c r="CJ52" s="162" t="e">
        <f t="shared" si="116"/>
        <v>#N/A</v>
      </c>
      <c r="CK52" s="162" t="e">
        <f t="shared" si="117"/>
        <v>#N/A</v>
      </c>
      <c r="CL52" s="142" t="e">
        <f t="shared" si="118"/>
        <v>#N/A</v>
      </c>
      <c r="CM52" s="144">
        <f>SUMIFS(購入実績入力シート[購入数量],購入実績入力シート[対象月],'管理シート（本体）'!CL$8,購入実績入力シート[氏名],管理シート[[#This Row],[氏名]],購入実績入力シート[燃料別],管理シート[[#This Row],[燃料別]])</f>
        <v>0</v>
      </c>
      <c r="CN52" s="114" t="e">
        <f t="shared" si="119"/>
        <v>#N/A</v>
      </c>
      <c r="CO52" s="162" t="e">
        <f t="shared" si="120"/>
        <v>#N/A</v>
      </c>
      <c r="CP52" s="162" t="e">
        <f t="shared" si="121"/>
        <v>#N/A</v>
      </c>
      <c r="CQ52" s="162" t="e">
        <f t="shared" si="122"/>
        <v>#N/A</v>
      </c>
      <c r="CR52" s="142" t="e">
        <f t="shared" si="123"/>
        <v>#N/A</v>
      </c>
      <c r="CS52" s="144">
        <f>SUMIFS(購入実績入力シート[購入数量],購入実績入力シート[対象月],'管理シート（本体）'!CR$8,購入実績入力シート[氏名],管理シート[[#This Row],[氏名]],購入実績入力シート[燃料別],管理シート[[#This Row],[燃料別]])</f>
        <v>0</v>
      </c>
      <c r="CT52" s="114" t="e">
        <f t="shared" si="124"/>
        <v>#N/A</v>
      </c>
      <c r="CU52" s="162" t="e">
        <f t="shared" si="125"/>
        <v>#N/A</v>
      </c>
      <c r="CV52" s="162" t="e">
        <f t="shared" si="126"/>
        <v>#N/A</v>
      </c>
      <c r="CW52" s="162" t="e">
        <f t="shared" si="127"/>
        <v>#N/A</v>
      </c>
      <c r="CX52" s="142" t="e">
        <f t="shared" si="128"/>
        <v>#N/A</v>
      </c>
      <c r="CY52" s="144">
        <f>SUMIFS(購入実績入力シート[購入数量],購入実績入力シート[対象月],'管理シート（本体）'!CX$8,購入実績入力シート[氏名],管理シート[[#This Row],[氏名]],購入実績入力シート[燃料別],管理シート[[#This Row],[燃料別]])</f>
        <v>0</v>
      </c>
      <c r="CZ52" s="114" t="e">
        <f t="shared" si="129"/>
        <v>#N/A</v>
      </c>
      <c r="DA52" s="162" t="e">
        <f t="shared" si="49"/>
        <v>#N/A</v>
      </c>
      <c r="DB52" s="162" t="e">
        <f t="shared" si="130"/>
        <v>#N/A</v>
      </c>
      <c r="DC52" s="162" t="e">
        <f t="shared" si="131"/>
        <v>#N/A</v>
      </c>
      <c r="DD52" s="108" t="e">
        <f t="shared" si="132"/>
        <v>#N/A</v>
      </c>
      <c r="DE52" s="108" t="e">
        <f t="shared" si="136"/>
        <v>#N/A</v>
      </c>
      <c r="DF52" s="190"/>
      <c r="DG52" s="174">
        <f t="shared" si="133"/>
        <v>0</v>
      </c>
    </row>
    <row r="53" spans="1:111" ht="19.95" customHeight="1">
      <c r="A53" s="176"/>
      <c r="B53" s="176"/>
      <c r="C53" s="176"/>
      <c r="D53" s="176"/>
      <c r="E53" s="176"/>
      <c r="F53" s="176"/>
      <c r="G53" s="176"/>
      <c r="H53" s="176"/>
      <c r="I53" s="90">
        <v>40</v>
      </c>
      <c r="J53" s="186"/>
      <c r="K53" s="91" t="s">
        <v>354</v>
      </c>
      <c r="L53" s="102"/>
      <c r="M53" s="268"/>
      <c r="N53" s="93"/>
      <c r="O53" s="90"/>
      <c r="P53" s="94"/>
      <c r="Q53" s="94"/>
      <c r="R53" s="6"/>
      <c r="S53" s="107">
        <f t="shared" si="86"/>
        <v>0</v>
      </c>
      <c r="T53" s="94"/>
      <c r="U53" s="11"/>
      <c r="V53" s="108">
        <f t="shared" si="87"/>
        <v>0</v>
      </c>
      <c r="W53" s="12"/>
      <c r="X53" s="109">
        <f t="shared" si="88"/>
        <v>0</v>
      </c>
      <c r="Y53" s="110">
        <f t="shared" si="89"/>
        <v>0</v>
      </c>
      <c r="Z53" s="95"/>
      <c r="AA53" s="95"/>
      <c r="AB53" s="95"/>
      <c r="AC53" s="95"/>
      <c r="AD53" s="95"/>
      <c r="AE53" s="95"/>
      <c r="AF53" s="94"/>
      <c r="AG53" s="111">
        <f t="shared" si="134"/>
        <v>0</v>
      </c>
      <c r="AH53" s="96"/>
      <c r="AI53" s="111">
        <f t="shared" si="135"/>
        <v>0</v>
      </c>
      <c r="AJ53" s="94"/>
      <c r="AK53" s="94"/>
      <c r="AL53" s="94"/>
      <c r="AM53" s="94"/>
      <c r="AN53" s="94"/>
      <c r="AO53" s="94"/>
      <c r="AP53" s="94"/>
      <c r="AQ53" s="97"/>
      <c r="AR53" s="94"/>
      <c r="AS53" s="94"/>
      <c r="AT53" s="94"/>
      <c r="AU53" s="94"/>
      <c r="AV53" s="97"/>
      <c r="AW53" s="97"/>
      <c r="AX53" s="94"/>
      <c r="AY53" s="94"/>
      <c r="AZ53" s="97"/>
      <c r="BA53" s="96"/>
      <c r="BB53" s="113" t="e">
        <f t="shared" si="90"/>
        <v>#N/A</v>
      </c>
      <c r="BC53" s="142">
        <f>SUMIFS(購入実績入力シート[購入数量],購入実績入力シート[対象月],'管理シート（本体）'!BB$8,購入実績入力シート[氏名],管理シート[[#This Row],[氏名]],購入実績入力シート[燃料別],管理シート[[#This Row],[燃料別]])</f>
        <v>0</v>
      </c>
      <c r="BD53" s="280" t="e">
        <f t="shared" si="91"/>
        <v>#N/A</v>
      </c>
      <c r="BE53" s="162" t="e">
        <f t="shared" si="92"/>
        <v>#N/A</v>
      </c>
      <c r="BF53" s="162" t="e">
        <f t="shared" si="93"/>
        <v>#N/A</v>
      </c>
      <c r="BG53" s="162" t="e">
        <f t="shared" si="94"/>
        <v>#N/A</v>
      </c>
      <c r="BH53" s="142" t="e">
        <f t="shared" si="95"/>
        <v>#N/A</v>
      </c>
      <c r="BI53" s="144">
        <f>SUMIFS(購入実績入力シート[購入数量],購入実績入力シート[対象月],'管理シート（本体）'!BH$8,購入実績入力シート[氏名],管理シート[[#This Row],[氏名]],購入実績入力シート[燃料別],管理シート[[#This Row],[燃料別]])</f>
        <v>0</v>
      </c>
      <c r="BJ53" s="280" t="e">
        <f t="shared" si="96"/>
        <v>#N/A</v>
      </c>
      <c r="BK53" s="162" t="e">
        <f t="shared" si="57"/>
        <v>#N/A</v>
      </c>
      <c r="BL53" s="162" t="e">
        <f t="shared" si="97"/>
        <v>#N/A</v>
      </c>
      <c r="BM53" s="162" t="e">
        <f t="shared" si="98"/>
        <v>#N/A</v>
      </c>
      <c r="BN53" s="142" t="e">
        <f t="shared" si="99"/>
        <v>#N/A</v>
      </c>
      <c r="BO53" s="144">
        <f>SUMIFS(購入実績入力シート[購入数量],購入実績入力シート[対象月],'管理シート（本体）'!BN$8,購入実績入力シート[氏名],管理シート[[#This Row],[氏名]],購入実績入力シート[燃料別],管理シート[[#This Row],[燃料別]])</f>
        <v>0</v>
      </c>
      <c r="BP53" s="280" t="e">
        <f t="shared" si="100"/>
        <v>#N/A</v>
      </c>
      <c r="BQ53" s="162" t="e">
        <f t="shared" si="101"/>
        <v>#N/A</v>
      </c>
      <c r="BR53" s="162" t="e">
        <f t="shared" si="102"/>
        <v>#N/A</v>
      </c>
      <c r="BS53" s="162" t="e">
        <f t="shared" si="103"/>
        <v>#N/A</v>
      </c>
      <c r="BT53" s="142" t="e">
        <f t="shared" si="104"/>
        <v>#N/A</v>
      </c>
      <c r="BU53" s="144">
        <f>SUMIFS(購入実績入力シート[購入数量],購入実績入力シート[対象月],'管理シート（本体）'!BT$8,購入実績入力シート[氏名],管理シート[[#This Row],[氏名]],購入実績入力シート[燃料別],管理シート[[#This Row],[燃料別]])</f>
        <v>0</v>
      </c>
      <c r="BV53" s="114" t="e">
        <f t="shared" si="105"/>
        <v>#N/A</v>
      </c>
      <c r="BW53" s="162" t="e">
        <f t="shared" si="106"/>
        <v>#N/A</v>
      </c>
      <c r="BX53" s="162" t="e">
        <f t="shared" si="107"/>
        <v>#N/A</v>
      </c>
      <c r="BY53" s="162" t="e">
        <f t="shared" si="108"/>
        <v>#N/A</v>
      </c>
      <c r="BZ53" s="142" t="e">
        <f t="shared" si="109"/>
        <v>#N/A</v>
      </c>
      <c r="CA53" s="144">
        <f>SUMIFS(購入実績入力シート[購入数量],購入実績入力シート[対象月],'管理シート（本体）'!BZ$8,購入実績入力シート[氏名],管理シート[[#This Row],[氏名]],購入実績入力シート[燃料別],管理シート[[#This Row],[燃料別]])</f>
        <v>0</v>
      </c>
      <c r="CB53" s="114" t="e">
        <f t="shared" si="110"/>
        <v>#N/A</v>
      </c>
      <c r="CC53" s="162" t="e">
        <f t="shared" si="39"/>
        <v>#N/A</v>
      </c>
      <c r="CD53" s="162" t="e">
        <f t="shared" si="111"/>
        <v>#N/A</v>
      </c>
      <c r="CE53" s="162" t="e">
        <f t="shared" si="112"/>
        <v>#N/A</v>
      </c>
      <c r="CF53" s="142" t="e">
        <f t="shared" si="113"/>
        <v>#N/A</v>
      </c>
      <c r="CG53" s="144">
        <f>SUMIFS(購入実績入力シート[購入数量],購入実績入力シート[対象月],'管理シート（本体）'!CF$8,購入実績入力シート[氏名],管理シート[[#This Row],[氏名]],購入実績入力シート[燃料別],管理シート[[#This Row],[燃料別]])</f>
        <v>0</v>
      </c>
      <c r="CH53" s="114" t="e">
        <f t="shared" si="114"/>
        <v>#N/A</v>
      </c>
      <c r="CI53" s="162" t="e">
        <f t="shared" si="115"/>
        <v>#N/A</v>
      </c>
      <c r="CJ53" s="162" t="e">
        <f t="shared" si="116"/>
        <v>#N/A</v>
      </c>
      <c r="CK53" s="162" t="e">
        <f t="shared" si="117"/>
        <v>#N/A</v>
      </c>
      <c r="CL53" s="142" t="e">
        <f t="shared" si="118"/>
        <v>#N/A</v>
      </c>
      <c r="CM53" s="144">
        <f>SUMIFS(購入実績入力シート[購入数量],購入実績入力シート[対象月],'管理シート（本体）'!CL$8,購入実績入力シート[氏名],管理シート[[#This Row],[氏名]],購入実績入力シート[燃料別],管理シート[[#This Row],[燃料別]])</f>
        <v>0</v>
      </c>
      <c r="CN53" s="114" t="e">
        <f t="shared" si="119"/>
        <v>#N/A</v>
      </c>
      <c r="CO53" s="162" t="e">
        <f t="shared" si="120"/>
        <v>#N/A</v>
      </c>
      <c r="CP53" s="162" t="e">
        <f t="shared" si="121"/>
        <v>#N/A</v>
      </c>
      <c r="CQ53" s="162" t="e">
        <f t="shared" si="122"/>
        <v>#N/A</v>
      </c>
      <c r="CR53" s="142" t="e">
        <f t="shared" si="123"/>
        <v>#N/A</v>
      </c>
      <c r="CS53" s="144">
        <f>SUMIFS(購入実績入力シート[購入数量],購入実績入力シート[対象月],'管理シート（本体）'!CR$8,購入実績入力シート[氏名],管理シート[[#This Row],[氏名]],購入実績入力シート[燃料別],管理シート[[#This Row],[燃料別]])</f>
        <v>0</v>
      </c>
      <c r="CT53" s="114" t="e">
        <f t="shared" si="124"/>
        <v>#N/A</v>
      </c>
      <c r="CU53" s="162" t="e">
        <f t="shared" si="125"/>
        <v>#N/A</v>
      </c>
      <c r="CV53" s="162" t="e">
        <f t="shared" si="126"/>
        <v>#N/A</v>
      </c>
      <c r="CW53" s="162" t="e">
        <f t="shared" si="127"/>
        <v>#N/A</v>
      </c>
      <c r="CX53" s="142" t="e">
        <f t="shared" si="128"/>
        <v>#N/A</v>
      </c>
      <c r="CY53" s="144">
        <f>SUMIFS(購入実績入力シート[購入数量],購入実績入力シート[対象月],'管理シート（本体）'!CX$8,購入実績入力シート[氏名],管理シート[[#This Row],[氏名]],購入実績入力シート[燃料別],管理シート[[#This Row],[燃料別]])</f>
        <v>0</v>
      </c>
      <c r="CZ53" s="114" t="e">
        <f t="shared" si="129"/>
        <v>#N/A</v>
      </c>
      <c r="DA53" s="162" t="e">
        <f>SUM(DB53:DC53)</f>
        <v>#N/A</v>
      </c>
      <c r="DB53" s="162" t="e">
        <f t="shared" si="130"/>
        <v>#N/A</v>
      </c>
      <c r="DC53" s="162" t="e">
        <f t="shared" si="131"/>
        <v>#N/A</v>
      </c>
      <c r="DD53" s="108" t="e">
        <f t="shared" si="132"/>
        <v>#N/A</v>
      </c>
      <c r="DE53" s="108" t="e">
        <f t="shared" si="136"/>
        <v>#N/A</v>
      </c>
      <c r="DF53" s="190"/>
      <c r="DG53" s="174">
        <f t="shared" si="133"/>
        <v>0</v>
      </c>
    </row>
    <row r="54" spans="1:111" ht="19.95" customHeight="1">
      <c r="A54" s="176" t="str">
        <f t="shared" si="51"/>
        <v>山梨県水田畑作農業再生協議会</v>
      </c>
      <c r="B54" s="176">
        <f t="shared" si="51"/>
        <v>0</v>
      </c>
      <c r="C54" s="176" t="str">
        <f t="shared" si="51"/>
        <v>団体A</v>
      </c>
      <c r="D54" s="176" t="str">
        <f t="shared" si="51"/>
        <v>会長　○○　○○</v>
      </c>
      <c r="E54" s="176" t="str">
        <f t="shared" si="51"/>
        <v>000-0000</v>
      </c>
      <c r="F54" s="176" t="str">
        <f>F$14</f>
        <v>甲府市○○</v>
      </c>
      <c r="G54" s="176" t="str">
        <f t="shared" si="51"/>
        <v>R6～R8</v>
      </c>
      <c r="H54" s="176" t="str">
        <f t="shared" si="51"/>
        <v>10月～翌６月</v>
      </c>
      <c r="I54" s="90">
        <v>41</v>
      </c>
      <c r="J54" s="186"/>
      <c r="K54" s="90" t="s">
        <v>355</v>
      </c>
      <c r="L54" s="102"/>
      <c r="M54" s="268"/>
      <c r="N54" s="93"/>
      <c r="O54" s="90"/>
      <c r="P54" s="94"/>
      <c r="Q54" s="94"/>
      <c r="R54" s="6">
        <v>0</v>
      </c>
      <c r="S54" s="107">
        <f t="shared" ref="S54" si="137">Q54-R54</f>
        <v>0</v>
      </c>
      <c r="T54" s="94"/>
      <c r="U54" s="11"/>
      <c r="V54" s="108">
        <f t="shared" ref="V54" si="138">Q54-T54-R54</f>
        <v>0</v>
      </c>
      <c r="W54" s="12"/>
      <c r="X54" s="109">
        <f t="shared" ref="X54" si="139">R54+T54+V54</f>
        <v>0</v>
      </c>
      <c r="Y54" s="110">
        <f t="shared" ref="Y54" si="140">Q54</f>
        <v>0</v>
      </c>
      <c r="Z54" s="95"/>
      <c r="AA54" s="95"/>
      <c r="AB54" s="95"/>
      <c r="AC54" s="95"/>
      <c r="AD54" s="95"/>
      <c r="AE54" s="95"/>
      <c r="AF54" s="94"/>
      <c r="AG54" s="111">
        <f t="shared" si="29"/>
        <v>0</v>
      </c>
      <c r="AH54" s="96"/>
      <c r="AI54" s="111">
        <f t="shared" si="0"/>
        <v>0</v>
      </c>
      <c r="AJ54" s="94"/>
      <c r="AK54" s="94"/>
      <c r="AL54" s="94"/>
      <c r="AM54" s="94"/>
      <c r="AN54" s="94"/>
      <c r="AO54" s="94"/>
      <c r="AP54" s="94"/>
      <c r="AQ54" s="97"/>
      <c r="AR54" s="94"/>
      <c r="AS54" s="94"/>
      <c r="AT54" s="94"/>
      <c r="AU54" s="94"/>
      <c r="AV54" s="97"/>
      <c r="AW54" s="97"/>
      <c r="AX54" s="94"/>
      <c r="AY54" s="94"/>
      <c r="AZ54" s="97"/>
      <c r="BA54" s="96"/>
      <c r="BB54" s="113" t="e">
        <f t="shared" ref="BB54" si="141">VLOOKUP($O54,$BE$4:$BF$7,2,0)</f>
        <v>#N/A</v>
      </c>
      <c r="BC54" s="142">
        <f>SUMIFS(購入実績入力シート[購入数量],購入実績入力シート[対象月],'管理シート（本体）'!BB$8,購入実績入力シート[氏名],管理シート[[#This Row],[氏名]],購入実績入力シート[燃料別],管理シート[[#This Row],[燃料別]])</f>
        <v>0</v>
      </c>
      <c r="BD54" s="280" t="e">
        <f t="shared" ref="BD54" si="142">VLOOKUP($O54,BE$4:BG$7,3,0)*BC54</f>
        <v>#N/A</v>
      </c>
      <c r="BE54" s="162" t="e">
        <f t="shared" ref="BE54" si="143">SUM(BF54:BG54)</f>
        <v>#N/A</v>
      </c>
      <c r="BF54" s="162" t="e">
        <f t="shared" ref="BF54" si="144">ROUNDDOWN(BB54*BD54*1/2,0)</f>
        <v>#N/A</v>
      </c>
      <c r="BG54" s="162" t="e">
        <f t="shared" ref="BG54" si="145">ROUNDDOWN(BB54*BD54*1/2,0)</f>
        <v>#N/A</v>
      </c>
      <c r="BH54" s="142" t="e">
        <f t="shared" ref="BH54" si="146">VLOOKUP($O54,$BK$4:$BL$7,2,0)</f>
        <v>#N/A</v>
      </c>
      <c r="BI54" s="144">
        <f>SUMIFS(購入実績入力シート[購入数量],購入実績入力シート[対象月],'管理シート（本体）'!BH$8,購入実績入力シート[氏名],管理シート[[#This Row],[氏名]],購入実績入力シート[燃料別],管理シート[[#This Row],[燃料別]])</f>
        <v>0</v>
      </c>
      <c r="BJ54" s="280" t="e">
        <f t="shared" ref="BJ54" si="147">VLOOKUP($O54,BK$4:BM$7,3,0)*BI54</f>
        <v>#N/A</v>
      </c>
      <c r="BK54" s="162" t="e">
        <f t="shared" si="57"/>
        <v>#N/A</v>
      </c>
      <c r="BL54" s="162" t="e">
        <f t="shared" ref="BL54" si="148">ROUNDDOWN(BH54*BJ54*1/2,0)</f>
        <v>#N/A</v>
      </c>
      <c r="BM54" s="162" t="e">
        <f t="shared" ref="BM54" si="149">ROUNDDOWN(BH54*BJ54*1/2,0)</f>
        <v>#N/A</v>
      </c>
      <c r="BN54" s="142" t="e">
        <f t="shared" ref="BN54" si="150">VLOOKUP($O54,$BQ$4:$BR$7,2,0)</f>
        <v>#N/A</v>
      </c>
      <c r="BO54" s="144">
        <f>SUMIFS(購入実績入力シート[購入数量],購入実績入力シート[対象月],'管理シート（本体）'!BN$8,購入実績入力シート[氏名],管理シート[[#This Row],[氏名]],購入実績入力シート[燃料別],管理シート[[#This Row],[燃料別]])</f>
        <v>0</v>
      </c>
      <c r="BP54" s="280" t="e">
        <f t="shared" ref="BP54" si="151">VLOOKUP($O54,BQ$4:BS$7,3,0)*BO54</f>
        <v>#N/A</v>
      </c>
      <c r="BQ54" s="162" t="e">
        <f t="shared" ref="BQ54" si="152">SUM(BR54:BS54)</f>
        <v>#N/A</v>
      </c>
      <c r="BR54" s="162" t="e">
        <f t="shared" ref="BR54" si="153">ROUNDDOWN(BN54*BP54*1/2,0)</f>
        <v>#N/A</v>
      </c>
      <c r="BS54" s="162" t="e">
        <f t="shared" ref="BS54" si="154">ROUNDDOWN(BN54*BP54*1/2,0)</f>
        <v>#N/A</v>
      </c>
      <c r="BT54" s="142" t="e">
        <f t="shared" ref="BT54" si="155">VLOOKUP($O54,$BW$4:$BX$7,2,0)</f>
        <v>#N/A</v>
      </c>
      <c r="BU54" s="144">
        <f>SUMIFS(購入実績入力シート[購入数量],購入実績入力シート[対象月],'管理シート（本体）'!BT$8,購入実績入力シート[氏名],管理シート[[#This Row],[氏名]],購入実績入力シート[燃料別],管理シート[[#This Row],[燃料別]])</f>
        <v>0</v>
      </c>
      <c r="BV54" s="114" t="e">
        <f t="shared" ref="BV54" si="156">VLOOKUP($O54,BW$4:BY$7,3,0)*BU54</f>
        <v>#N/A</v>
      </c>
      <c r="BW54" s="162" t="e">
        <f t="shared" ref="BW54" si="157">SUM(BX54:BY54)</f>
        <v>#N/A</v>
      </c>
      <c r="BX54" s="162" t="e">
        <f t="shared" ref="BX54" si="158">ROUNDDOWN(BT54*BV54*1/2,0)</f>
        <v>#N/A</v>
      </c>
      <c r="BY54" s="162" t="e">
        <f t="shared" ref="BY54" si="159">ROUNDDOWN(BT54*BV54*1/2,0)</f>
        <v>#N/A</v>
      </c>
      <c r="BZ54" s="142" t="e">
        <f t="shared" ref="BZ54" si="160">VLOOKUP($O54,$CC$4:$CD$7,2,0)</f>
        <v>#N/A</v>
      </c>
      <c r="CA54" s="144">
        <f>SUMIFS(購入実績入力シート[購入数量],購入実績入力シート[対象月],'管理シート（本体）'!BZ$8,購入実績入力シート[氏名],管理シート[[#This Row],[氏名]],購入実績入力シート[燃料別],管理シート[[#This Row],[燃料別]])</f>
        <v>0</v>
      </c>
      <c r="CB54" s="114" t="e">
        <f t="shared" ref="CB54" si="161">VLOOKUP($O54,CC$4:CE$7,3,0)*CA54</f>
        <v>#N/A</v>
      </c>
      <c r="CC54" s="162" t="e">
        <f t="shared" si="39"/>
        <v>#N/A</v>
      </c>
      <c r="CD54" s="162" t="e">
        <f t="shared" ref="CD54" si="162">ROUNDDOWN(BZ54*CB54*1/2,0)</f>
        <v>#N/A</v>
      </c>
      <c r="CE54" s="162" t="e">
        <f t="shared" ref="CE54" si="163">ROUNDDOWN(BZ54*CB54*1/2,0)</f>
        <v>#N/A</v>
      </c>
      <c r="CF54" s="142" t="e">
        <f t="shared" ref="CF54" si="164">VLOOKUP($O54,$CI$4:$CJ$7,2,0)</f>
        <v>#N/A</v>
      </c>
      <c r="CG54" s="144">
        <f>SUMIFS(購入実績入力シート[購入数量],購入実績入力シート[対象月],'管理シート（本体）'!CF$8,購入実績入力シート[氏名],管理シート[[#This Row],[氏名]],購入実績入力シート[燃料別],管理シート[[#This Row],[燃料別]])</f>
        <v>0</v>
      </c>
      <c r="CH54" s="114" t="e">
        <f t="shared" ref="CH54" si="165">VLOOKUP($O54,CI$4:CK$7,3,0)*CG54</f>
        <v>#N/A</v>
      </c>
      <c r="CI54" s="162" t="e">
        <f t="shared" ref="CI54" si="166">SUM(CJ54:CK54)</f>
        <v>#N/A</v>
      </c>
      <c r="CJ54" s="162" t="e">
        <f t="shared" ref="CJ54" si="167">ROUNDDOWN(CF54*CH54*1/2,0)</f>
        <v>#N/A</v>
      </c>
      <c r="CK54" s="162" t="e">
        <f t="shared" ref="CK54" si="168">ROUNDDOWN(CF54*CH54*1/2,0)</f>
        <v>#N/A</v>
      </c>
      <c r="CL54" s="142" t="e">
        <f t="shared" ref="CL54" si="169">VLOOKUP($O54,$CO$4:$CP$7,2,0)</f>
        <v>#N/A</v>
      </c>
      <c r="CM54" s="144">
        <f>SUMIFS(購入実績入力シート[購入数量],購入実績入力シート[対象月],'管理シート（本体）'!CL$8,購入実績入力シート[氏名],管理シート[[#This Row],[氏名]],購入実績入力シート[燃料別],管理シート[[#This Row],[燃料別]])</f>
        <v>0</v>
      </c>
      <c r="CN54" s="114" t="e">
        <f t="shared" ref="CN54" si="170">VLOOKUP($O54,CO$4:CQ$7,3,0)*CM54</f>
        <v>#N/A</v>
      </c>
      <c r="CO54" s="162" t="e">
        <f t="shared" ref="CO54" si="171">SUM(CP54:CQ54)</f>
        <v>#N/A</v>
      </c>
      <c r="CP54" s="162" t="e">
        <f t="shared" ref="CP54" si="172">ROUNDDOWN(CL54*CN54*1/2,0)</f>
        <v>#N/A</v>
      </c>
      <c r="CQ54" s="162" t="e">
        <f t="shared" ref="CQ54" si="173">ROUNDDOWN(CL54*CN54*1/2,0)</f>
        <v>#N/A</v>
      </c>
      <c r="CR54" s="142" t="e">
        <f t="shared" ref="CR54" si="174">VLOOKUP($O54,$CU$4:$CV$7,2,0)</f>
        <v>#N/A</v>
      </c>
      <c r="CS54" s="144">
        <f>SUMIFS(購入実績入力シート[購入数量],購入実績入力シート[対象月],'管理シート（本体）'!CR$8,購入実績入力シート[氏名],管理シート[[#This Row],[氏名]],購入実績入力シート[燃料別],管理シート[[#This Row],[燃料別]])</f>
        <v>0</v>
      </c>
      <c r="CT54" s="114" t="e">
        <f t="shared" ref="CT54" si="175">VLOOKUP($O54,CU$4:CW$7,3,0)*CS54</f>
        <v>#N/A</v>
      </c>
      <c r="CU54" s="162" t="e">
        <f t="shared" ref="CU54" si="176">SUM(CV54:CW54)</f>
        <v>#N/A</v>
      </c>
      <c r="CV54" s="162" t="e">
        <f t="shared" ref="CV54" si="177">ROUNDDOWN(CR54*CT54*1/2,0)</f>
        <v>#N/A</v>
      </c>
      <c r="CW54" s="162" t="e">
        <f t="shared" ref="CW54" si="178">ROUNDDOWN(CR54*CT54*1/2,0)</f>
        <v>#N/A</v>
      </c>
      <c r="CX54" s="142" t="e">
        <f t="shared" ref="CX54" si="179">VLOOKUP($O54,$DA$4:$DB$7,2,0)</f>
        <v>#N/A</v>
      </c>
      <c r="CY54" s="144">
        <f>SUMIFS(購入実績入力シート[購入数量],購入実績入力シート[対象月],'管理シート（本体）'!CX$8,購入実績入力シート[氏名],管理シート[[#This Row],[氏名]],購入実績入力シート[燃料別],管理シート[[#This Row],[燃料別]])</f>
        <v>0</v>
      </c>
      <c r="CZ54" s="114" t="e">
        <f t="shared" ref="CZ54" si="180">VLOOKUP($O54,DA$4:DC$7,3,0)*CY54</f>
        <v>#N/A</v>
      </c>
      <c r="DA54" s="162" t="e">
        <f>SUM(DB54:DC54)</f>
        <v>#N/A</v>
      </c>
      <c r="DB54" s="162" t="e">
        <f t="shared" ref="DB54" si="181">ROUNDDOWN(CX54*CZ54*1/2,0)</f>
        <v>#N/A</v>
      </c>
      <c r="DC54" s="162" t="e">
        <f t="shared" ref="DC54" si="182">ROUNDDOWN(CX54*CZ54*1/2,0)</f>
        <v>#N/A</v>
      </c>
      <c r="DD54" s="108" t="e">
        <f t="shared" ref="DD54" si="183">BF54+BL54+BR54+BX54+CD54+CJ54+CP54+CV54+DB54</f>
        <v>#N/A</v>
      </c>
      <c r="DE54" s="108" t="e">
        <f t="shared" si="24"/>
        <v>#N/A</v>
      </c>
      <c r="DF54" s="190"/>
      <c r="DG54" s="174">
        <f t="shared" ref="DG54" si="184">SUM(BA54,BC54,BI54,BO54,BU54,CA54,CG54,CM54,CS54,CY54)</f>
        <v>0</v>
      </c>
    </row>
    <row r="55" spans="1:111" ht="29.55" customHeight="1" thickBot="1">
      <c r="A55" s="194" t="s">
        <v>113</v>
      </c>
      <c r="B55" s="195"/>
      <c r="C55" s="195"/>
      <c r="D55" s="195"/>
      <c r="E55" s="195"/>
      <c r="F55" s="195"/>
      <c r="G55" s="195"/>
      <c r="H55" s="195"/>
      <c r="I55" s="195">
        <f>SUBTOTAL(102,管理シート[農家No])</f>
        <v>41</v>
      </c>
      <c r="J55" s="195"/>
      <c r="K55" s="195">
        <f>SUBTOTAL(103,管理シート[氏名])</f>
        <v>41</v>
      </c>
      <c r="L55" s="196"/>
      <c r="M55" s="281">
        <f>SUBTOTAL(103,管理シート[省エネ特例])</f>
        <v>1</v>
      </c>
      <c r="N55" s="195"/>
      <c r="O55" s="195"/>
      <c r="P55" s="197">
        <f>SUBTOTAL(109,管理シート[購入予定数量])</f>
        <v>21000</v>
      </c>
      <c r="Q55" s="197">
        <f>SUBTOTAL(109,管理シート[R7積立金])</f>
        <v>428400</v>
      </c>
      <c r="R55" s="287">
        <f>SUBTOTAL(109,管理シート[R6末残高])</f>
        <v>0</v>
      </c>
      <c r="S55" s="292">
        <f>SUBTOTAL(109,管理シート[積立必要額])</f>
        <v>428400</v>
      </c>
      <c r="T55" s="293">
        <f>SUBTOTAL(109,管理シート[第1回納付])</f>
        <v>428400</v>
      </c>
      <c r="U55" s="293">
        <f>SUBTOTAL(109,管理シート[納付日])</f>
        <v>0</v>
      </c>
      <c r="V55" s="293">
        <f>SUBTOTAL(109,管理シート[第2回納付])</f>
        <v>0</v>
      </c>
      <c r="W55" s="293">
        <f>SUBTOTAL(109,管理シート[納付日2])</f>
        <v>0</v>
      </c>
      <c r="X55" s="294">
        <f>SUBTOTAL(109,管理シート[納付額合計])</f>
        <v>428400</v>
      </c>
      <c r="Y55" s="288">
        <f>SUBTOTAL(109,管理シート[補助金見込])</f>
        <v>428400</v>
      </c>
      <c r="Z55" s="198">
        <f>SUBTOTAL(109,管理シート[現在])</f>
        <v>139</v>
      </c>
      <c r="AA55" s="198">
        <f>SUBTOTAL(109,管理シート[目標])</f>
        <v>139</v>
      </c>
      <c r="AB55" s="198">
        <f>SUBTOTAL(109,管理シート[A重油])</f>
        <v>139</v>
      </c>
      <c r="AC55" s="198">
        <f>SUBTOTAL(109,管理シート[灯油])</f>
        <v>0</v>
      </c>
      <c r="AD55" s="198">
        <f>SUBTOTAL(109,管理シート[LP])</f>
        <v>0</v>
      </c>
      <c r="AE55" s="198">
        <f>SUBTOTAL(109,管理シート[LNG])</f>
        <v>0</v>
      </c>
      <c r="AF55" s="197">
        <f>SUBTOTAL(109,管理シート[現在2])</f>
        <v>65000</v>
      </c>
      <c r="AG55" s="197">
        <f>SUBTOTAL(109,管理シート[A重油換算])</f>
        <v>65000</v>
      </c>
      <c r="AH55" s="197">
        <f>SUBTOTAL(109,管理シート[目標2])</f>
        <v>55200</v>
      </c>
      <c r="AI55" s="197">
        <f>SUBTOTAL(109,管理シート[A重油換算2])</f>
        <v>55200</v>
      </c>
      <c r="AJ55" s="197">
        <f>SUBTOTAL(109,管理シート[品目])</f>
        <v>0</v>
      </c>
      <c r="AK55" s="197">
        <f>SUBTOTAL(109,管理シート[現在(kg)])</f>
        <v>0</v>
      </c>
      <c r="AL55" s="197">
        <f>SUBTOTAL(109,管理シート[目標(kg)])</f>
        <v>0</v>
      </c>
      <c r="AM55" s="197">
        <f>SUBTOTAL(109,管理シート[ヒ済台数])</f>
        <v>3</v>
      </c>
      <c r="AN55" s="198">
        <f>SUBTOTAL(109,管理シート[温室面積])</f>
        <v>139</v>
      </c>
      <c r="AO55" s="197">
        <f>SUBTOTAL(109,管理シート[ヒ予定台数])</f>
        <v>0</v>
      </c>
      <c r="AP55" s="197">
        <f>SUBTOTAL(109,管理シート[事業年度])</f>
        <v>0</v>
      </c>
      <c r="AQ55" s="198">
        <f>SUBTOTAL(109,管理シート[温室面積2])</f>
        <v>0</v>
      </c>
      <c r="AR55" s="197">
        <f>SUBTOTAL(109,管理シート[ガス済台数])</f>
        <v>0</v>
      </c>
      <c r="AS55" s="198">
        <f>SUBTOTAL(109,管理シート[温室面積3])</f>
        <v>0</v>
      </c>
      <c r="AT55" s="197">
        <f>SUBTOTAL(109,管理シート[ガス予定台数])</f>
        <v>0</v>
      </c>
      <c r="AU55" s="197">
        <f>SUBTOTAL(109,管理シート[事業年度2])</f>
        <v>0</v>
      </c>
      <c r="AV55" s="198">
        <f>SUBTOTAL(109,管理シート[温室面積4])</f>
        <v>0</v>
      </c>
      <c r="AW55" s="197">
        <f>SUBTOTAL(109,管理シート[設備名])</f>
        <v>0</v>
      </c>
      <c r="AX55" s="197">
        <f>SUBTOTAL(109,管理シート[台数])</f>
        <v>0</v>
      </c>
      <c r="AY55" s="197">
        <f>SUBTOTAL(109,管理シート[事業年度3])</f>
        <v>0</v>
      </c>
      <c r="AZ55" s="198">
        <f>SUBTOTAL(109,管理シート[温室面積5])</f>
        <v>0</v>
      </c>
      <c r="BA55" s="197">
        <f>SUBTOTAL(109,管理シート[7年7月～9月使用量])</f>
        <v>0</v>
      </c>
      <c r="BB55" s="199"/>
      <c r="BC55" s="197">
        <f>SUBTOTAL(109,管理シート[10月購入実績])</f>
        <v>1000</v>
      </c>
      <c r="BD55" s="197" t="e">
        <f>SUBTOTAL(109,管理シート[10月補填対象])</f>
        <v>#N/A</v>
      </c>
      <c r="BE55" s="197" t="e">
        <f>SUBTOTAL(109,管理シート[10月補填金額])</f>
        <v>#N/A</v>
      </c>
      <c r="BF55" s="197" t="e">
        <f>SUBTOTAL(109,管理シート[10月積立金])</f>
        <v>#N/A</v>
      </c>
      <c r="BG55" s="197" t="e">
        <f>SUBTOTAL(109,管理シート[10月補填金])</f>
        <v>#N/A</v>
      </c>
      <c r="BH55" s="199"/>
      <c r="BI55" s="197">
        <f>SUBTOTAL(109,管理シート[11月購入実績])</f>
        <v>0</v>
      </c>
      <c r="BJ55" s="197" t="e">
        <f>SUBTOTAL(109,管理シート[11月補填対象])</f>
        <v>#N/A</v>
      </c>
      <c r="BK55" s="197" t="e">
        <f>SUBTOTAL(109,管理シート[11月補填金額])</f>
        <v>#N/A</v>
      </c>
      <c r="BL55" s="197" t="e">
        <f>SUBTOTAL(109,管理シート[11月積立金])</f>
        <v>#N/A</v>
      </c>
      <c r="BM55" s="197" t="e">
        <f>SUBTOTAL(109,管理シート[11月補填金])</f>
        <v>#N/A</v>
      </c>
      <c r="BN55" s="199"/>
      <c r="BO55" s="197">
        <f>SUBTOTAL(109,管理シート[12月購入実績3])</f>
        <v>0</v>
      </c>
      <c r="BP55" s="197" t="e">
        <f>SUBTOTAL(109,管理シート[12月補填対象4])</f>
        <v>#N/A</v>
      </c>
      <c r="BQ55" s="197" t="e">
        <f>SUBTOTAL(109,管理シート[12月補填金額5])</f>
        <v>#N/A</v>
      </c>
      <c r="BR55" s="197" t="e">
        <f>SUBTOTAL(109,管理シート[12月積立金6])</f>
        <v>#N/A</v>
      </c>
      <c r="BS55" s="197" t="e">
        <f>SUBTOTAL(109,管理シート[12月補填金7])</f>
        <v>#N/A</v>
      </c>
      <c r="BT55" s="199"/>
      <c r="BU55" s="197">
        <f>SUBTOTAL(109,管理シート[1月購入実績3])</f>
        <v>0</v>
      </c>
      <c r="BV55" s="197" t="e">
        <f>SUBTOTAL(109,管理シート[1月補填対象4])</f>
        <v>#N/A</v>
      </c>
      <c r="BW55" s="197" t="e">
        <f>SUBTOTAL(109,管理シート[1月補填金額5])</f>
        <v>#N/A</v>
      </c>
      <c r="BX55" s="197" t="e">
        <f>SUBTOTAL(109,管理シート[1月積立金6])</f>
        <v>#N/A</v>
      </c>
      <c r="BY55" s="197" t="e">
        <f>SUBTOTAL(109,管理シート[1月補填金7])</f>
        <v>#N/A</v>
      </c>
      <c r="BZ55" s="199"/>
      <c r="CA55" s="197">
        <f>SUBTOTAL(109,管理シート[2月購入実績3])</f>
        <v>0</v>
      </c>
      <c r="CB55" s="197" t="e">
        <f>SUBTOTAL(109,管理シート[2月補填対象4])</f>
        <v>#N/A</v>
      </c>
      <c r="CC55" s="197" t="e">
        <f>SUBTOTAL(109,管理シート[2月補填金額5])</f>
        <v>#N/A</v>
      </c>
      <c r="CD55" s="197" t="e">
        <f>SUBTOTAL(109,管理シート[2月積立金6])</f>
        <v>#N/A</v>
      </c>
      <c r="CE55" s="197" t="e">
        <f>SUBTOTAL(109,管理シート[2月補填金7])</f>
        <v>#N/A</v>
      </c>
      <c r="CF55" s="199"/>
      <c r="CG55" s="197">
        <f>SUBTOTAL(109,管理シート[3月購入実績3])</f>
        <v>0</v>
      </c>
      <c r="CH55" s="197" t="e">
        <f>SUBTOTAL(109,管理シート[3月補填対象4])</f>
        <v>#N/A</v>
      </c>
      <c r="CI55" s="197" t="e">
        <f>SUBTOTAL(109,管理シート[3月補填金額5])</f>
        <v>#N/A</v>
      </c>
      <c r="CJ55" s="197" t="e">
        <f>SUBTOTAL(109,管理シート[3月積立金6])</f>
        <v>#N/A</v>
      </c>
      <c r="CK55" s="197" t="e">
        <f>SUBTOTAL(109,管理シート[3月補填金7])</f>
        <v>#N/A</v>
      </c>
      <c r="CL55" s="199"/>
      <c r="CM55" s="197">
        <f>SUBTOTAL(109,管理シート[4月購入実績3])</f>
        <v>0</v>
      </c>
      <c r="CN55" s="197" t="e">
        <f>SUBTOTAL(109,管理シート[4月補填対象4])</f>
        <v>#N/A</v>
      </c>
      <c r="CO55" s="197" t="e">
        <f>SUBTOTAL(109,管理シート[4月補填金額5])</f>
        <v>#N/A</v>
      </c>
      <c r="CP55" s="197" t="e">
        <f>SUBTOTAL(109,管理シート[4月積立金6])</f>
        <v>#N/A</v>
      </c>
      <c r="CQ55" s="197" t="e">
        <f>SUBTOTAL(109,管理シート[4月補填金7])</f>
        <v>#N/A</v>
      </c>
      <c r="CR55" s="199"/>
      <c r="CS55" s="197">
        <f>SUBTOTAL(109,管理シート[5月購入実績3])</f>
        <v>0</v>
      </c>
      <c r="CT55" s="197" t="e">
        <f>SUBTOTAL(109,管理シート[5月補填対象4])</f>
        <v>#N/A</v>
      </c>
      <c r="CU55" s="197" t="e">
        <f>SUBTOTAL(109,管理シート[5月補填金額5])</f>
        <v>#N/A</v>
      </c>
      <c r="CV55" s="197" t="e">
        <f>SUBTOTAL(109,管理シート[5月積立金6])</f>
        <v>#N/A</v>
      </c>
      <c r="CW55" s="197" t="e">
        <f>SUBTOTAL(109,管理シート[5月補填金7])</f>
        <v>#N/A</v>
      </c>
      <c r="CX55" s="199"/>
      <c r="CY55" s="197">
        <f>SUBTOTAL(109,管理シート[6月購入実績3])</f>
        <v>0</v>
      </c>
      <c r="CZ55" s="197" t="e">
        <f>SUBTOTAL(109,管理シート[6月補填対象4])</f>
        <v>#N/A</v>
      </c>
      <c r="DA55" s="197" t="e">
        <f>SUBTOTAL(109,管理シート[6月補填金額5])</f>
        <v>#N/A</v>
      </c>
      <c r="DB55" s="197" t="e">
        <f>SUBTOTAL(109,管理シート[6月積立金6])</f>
        <v>#N/A</v>
      </c>
      <c r="DC55" s="197" t="e">
        <f>SUBTOTAL(109,管理シート[6月補填金7])</f>
        <v>#N/A</v>
      </c>
      <c r="DD55" s="197" t="e">
        <f>SUBTOTAL(109,管理シート[交付額うち積立金])</f>
        <v>#N/A</v>
      </c>
      <c r="DE55" s="197" t="e">
        <f>SUBTOTAL(109,管理シート[農家積立金残額])</f>
        <v>#N/A</v>
      </c>
      <c r="DF55" s="199"/>
      <c r="DG55" s="197">
        <f>SUBTOTAL(109,管理シート[年間燃料購入実績])</f>
        <v>1000</v>
      </c>
    </row>
    <row r="56" spans="1:111" ht="28.5" customHeight="1">
      <c r="A56" s="188"/>
      <c r="B56" s="189"/>
      <c r="C56" s="189"/>
      <c r="D56" s="189"/>
      <c r="E56" s="189"/>
      <c r="F56" s="189"/>
      <c r="G56" s="189"/>
      <c r="H56" s="189"/>
      <c r="I56" s="99"/>
      <c r="J56" s="177"/>
      <c r="K56" s="99"/>
      <c r="L56" s="178"/>
      <c r="M56" s="267"/>
      <c r="N56" s="179"/>
      <c r="O56" s="99"/>
      <c r="P56" s="180"/>
      <c r="Q56" s="181"/>
      <c r="R56" s="182"/>
      <c r="S56" s="192"/>
      <c r="T56" s="9">
        <f>R55+T55</f>
        <v>428400</v>
      </c>
      <c r="U56" s="183"/>
      <c r="V56" s="191"/>
      <c r="W56" s="184"/>
      <c r="X56" s="9">
        <f>T56+V55</f>
        <v>428400</v>
      </c>
      <c r="Y56" s="103"/>
      <c r="Z56" s="316" t="s">
        <v>114</v>
      </c>
      <c r="AA56" s="317"/>
      <c r="AB56" s="317"/>
      <c r="AC56" s="317"/>
      <c r="AD56" s="317"/>
      <c r="AE56" s="318"/>
      <c r="AG56" s="53">
        <f>IF(Z55=0,0,AG55/$Z55*0.1)*100</f>
        <v>4676.258992805756</v>
      </c>
      <c r="AH56" s="185"/>
      <c r="AI56" s="54">
        <f>IF(AA55=0,0,AI55/$AA55*0.1)*100</f>
        <v>3971.223021582734</v>
      </c>
      <c r="AJ56" s="83" t="s">
        <v>115</v>
      </c>
      <c r="AK56" s="82">
        <f>AK55/AG55</f>
        <v>0</v>
      </c>
      <c r="AL56" s="82">
        <f>AL55/AI55</f>
        <v>0</v>
      </c>
      <c r="AM56" s="67" t="s">
        <v>116</v>
      </c>
      <c r="AN56" s="3">
        <f>AN55/Z55</f>
        <v>1</v>
      </c>
      <c r="AO56" s="67"/>
      <c r="AP56" s="67" t="s">
        <v>117</v>
      </c>
      <c r="AQ56" s="3">
        <f>(AN55+AQ55)/AA55</f>
        <v>1</v>
      </c>
      <c r="AR56" s="67" t="s">
        <v>116</v>
      </c>
      <c r="AS56" s="3">
        <f>AS55/Z55</f>
        <v>0</v>
      </c>
      <c r="AT56" s="67"/>
      <c r="AU56" s="67" t="s">
        <v>117</v>
      </c>
      <c r="AV56" s="3">
        <f>(AS55+AV55)/AA55</f>
        <v>0</v>
      </c>
      <c r="AW56" s="3"/>
      <c r="AX56" s="67"/>
      <c r="AY56" s="67"/>
      <c r="AZ56" s="3"/>
      <c r="BA56" s="67"/>
    </row>
    <row r="58" spans="1:111" ht="19.5" customHeight="1">
      <c r="A58" s="55" t="s">
        <v>118</v>
      </c>
      <c r="C58" s="55"/>
      <c r="N58" s="16"/>
      <c r="O58" s="359" t="s">
        <v>119</v>
      </c>
      <c r="P58" s="360"/>
      <c r="Q58" s="17"/>
      <c r="R58" s="18"/>
      <c r="T58" s="29"/>
      <c r="U58" s="61" t="s">
        <v>120</v>
      </c>
      <c r="V58" s="30"/>
      <c r="W58" s="30"/>
      <c r="X58" s="31"/>
      <c r="Z58" s="42"/>
      <c r="AA58" s="62" t="s">
        <v>121</v>
      </c>
      <c r="AB58" s="43"/>
      <c r="AC58" s="43"/>
      <c r="AD58" s="43"/>
      <c r="AE58" s="44"/>
      <c r="AI58" s="13"/>
      <c r="AJ58" s="13"/>
      <c r="AK58" s="13"/>
      <c r="AL58" s="13"/>
      <c r="AM58" s="13"/>
      <c r="AN58" s="13"/>
      <c r="AO58" s="13"/>
      <c r="AP58" s="13"/>
      <c r="AQ58" s="13"/>
      <c r="AR58" s="13"/>
      <c r="AS58" s="13"/>
      <c r="AT58" s="13"/>
      <c r="AU58" s="13"/>
      <c r="AV58" s="13"/>
      <c r="AW58" s="13"/>
      <c r="AX58" s="13"/>
      <c r="AY58" s="13"/>
      <c r="AZ58" s="13"/>
      <c r="BA58" s="13"/>
      <c r="BB58" s="13"/>
      <c r="BC58" s="211"/>
      <c r="BD58" s="358" t="s">
        <v>122</v>
      </c>
      <c r="BE58" s="358"/>
      <c r="BF58" s="356"/>
      <c r="BG58" s="357"/>
      <c r="BH58" s="212"/>
      <c r="BI58" s="211"/>
      <c r="BJ58" s="358" t="s">
        <v>123</v>
      </c>
      <c r="BK58" s="358"/>
      <c r="BL58" s="356"/>
      <c r="BM58" s="357"/>
      <c r="BN58" s="212"/>
      <c r="BO58" s="211"/>
      <c r="BP58" s="358" t="s">
        <v>124</v>
      </c>
      <c r="BQ58" s="358"/>
      <c r="BR58" s="356"/>
      <c r="BS58" s="357"/>
      <c r="BT58" s="212"/>
      <c r="BU58" s="211"/>
      <c r="BV58" s="358" t="s">
        <v>125</v>
      </c>
      <c r="BW58" s="358"/>
      <c r="BX58" s="356"/>
      <c r="BY58" s="357"/>
      <c r="BZ58" s="212"/>
      <c r="CA58" s="211"/>
      <c r="CB58" s="358" t="s">
        <v>126</v>
      </c>
      <c r="CC58" s="358"/>
      <c r="CD58" s="356"/>
      <c r="CE58" s="357"/>
      <c r="CF58" s="212"/>
      <c r="CG58" s="211"/>
      <c r="CH58" s="358" t="s">
        <v>127</v>
      </c>
      <c r="CI58" s="358"/>
      <c r="CJ58" s="356"/>
      <c r="CK58" s="357"/>
      <c r="CL58" s="212"/>
      <c r="CM58" s="211"/>
      <c r="CN58" s="358" t="s">
        <v>128</v>
      </c>
      <c r="CO58" s="358"/>
      <c r="CP58" s="356"/>
      <c r="CQ58" s="357"/>
      <c r="CR58" s="212"/>
      <c r="CS58" s="211"/>
      <c r="CT58" s="358" t="s">
        <v>129</v>
      </c>
      <c r="CU58" s="358"/>
      <c r="CV58" s="356"/>
      <c r="CW58" s="357"/>
      <c r="CX58" s="212"/>
      <c r="CY58" s="211"/>
      <c r="CZ58" s="358" t="s">
        <v>130</v>
      </c>
      <c r="DA58" s="358"/>
      <c r="DB58" s="356"/>
      <c r="DC58" s="357"/>
    </row>
    <row r="59" spans="1:111" ht="19.5" customHeight="1">
      <c r="A59" s="55" t="s">
        <v>131</v>
      </c>
      <c r="B59" s="55"/>
      <c r="C59" s="55"/>
      <c r="N59" s="19"/>
      <c r="O59" s="253" t="s">
        <v>37</v>
      </c>
      <c r="P59" s="253" t="s">
        <v>132</v>
      </c>
      <c r="Q59" s="253" t="s">
        <v>44</v>
      </c>
      <c r="R59" s="20" t="s">
        <v>46</v>
      </c>
      <c r="T59" s="32"/>
      <c r="U59" s="251" t="s">
        <v>37</v>
      </c>
      <c r="V59" s="251" t="s">
        <v>132</v>
      </c>
      <c r="W59" s="251" t="s">
        <v>44</v>
      </c>
      <c r="X59" s="33" t="s">
        <v>46</v>
      </c>
      <c r="Z59" s="45" t="s">
        <v>37</v>
      </c>
      <c r="AA59" s="2" t="s">
        <v>132</v>
      </c>
      <c r="AB59" s="2" t="s">
        <v>44</v>
      </c>
      <c r="AC59" s="2" t="s">
        <v>46</v>
      </c>
      <c r="AD59" s="2" t="s">
        <v>133</v>
      </c>
      <c r="AE59" s="86" t="s">
        <v>134</v>
      </c>
      <c r="AI59" s="13"/>
      <c r="AJ59" s="13"/>
      <c r="AK59" s="13"/>
      <c r="AL59" s="13"/>
      <c r="AM59" s="13"/>
      <c r="AN59" s="13"/>
      <c r="AO59" s="13"/>
      <c r="AP59" s="13"/>
      <c r="AQ59" s="13"/>
      <c r="AR59" s="13"/>
      <c r="AS59" s="13"/>
      <c r="AT59" s="13"/>
      <c r="AU59" s="13"/>
      <c r="AV59" s="13"/>
      <c r="AW59" s="13"/>
      <c r="AX59" s="13"/>
      <c r="AY59" s="13"/>
      <c r="AZ59" s="13"/>
      <c r="BA59" s="13"/>
      <c r="BB59" s="13"/>
      <c r="BC59" s="213"/>
      <c r="BD59" s="312" t="s">
        <v>135</v>
      </c>
      <c r="BE59" s="312"/>
      <c r="BF59" s="361"/>
      <c r="BG59" s="362"/>
      <c r="BH59" s="212"/>
      <c r="BI59" s="213"/>
      <c r="BJ59" s="312" t="s">
        <v>135</v>
      </c>
      <c r="BK59" s="312"/>
      <c r="BL59" s="361"/>
      <c r="BM59" s="362"/>
      <c r="BN59" s="212"/>
      <c r="BO59" s="213"/>
      <c r="BP59" s="312" t="s">
        <v>135</v>
      </c>
      <c r="BQ59" s="312"/>
      <c r="BR59" s="361"/>
      <c r="BS59" s="362"/>
      <c r="BT59" s="212"/>
      <c r="BU59" s="213"/>
      <c r="BV59" s="312" t="s">
        <v>135</v>
      </c>
      <c r="BW59" s="312"/>
      <c r="BX59" s="361"/>
      <c r="BY59" s="362"/>
      <c r="BZ59" s="212"/>
      <c r="CA59" s="213"/>
      <c r="CB59" s="312" t="s">
        <v>135</v>
      </c>
      <c r="CC59" s="312"/>
      <c r="CD59" s="361"/>
      <c r="CE59" s="362"/>
      <c r="CF59" s="212"/>
      <c r="CG59" s="213"/>
      <c r="CH59" s="312" t="s">
        <v>135</v>
      </c>
      <c r="CI59" s="312"/>
      <c r="CJ59" s="361"/>
      <c r="CK59" s="362"/>
      <c r="CL59" s="212"/>
      <c r="CM59" s="213"/>
      <c r="CN59" s="312" t="s">
        <v>135</v>
      </c>
      <c r="CO59" s="312"/>
      <c r="CP59" s="361"/>
      <c r="CQ59" s="362"/>
      <c r="CR59" s="212"/>
      <c r="CS59" s="213"/>
      <c r="CT59" s="312" t="s">
        <v>135</v>
      </c>
      <c r="CU59" s="312"/>
      <c r="CV59" s="361"/>
      <c r="CW59" s="362"/>
      <c r="CX59" s="212"/>
      <c r="CY59" s="213"/>
      <c r="CZ59" s="312" t="s">
        <v>135</v>
      </c>
      <c r="DA59" s="312"/>
      <c r="DB59" s="361"/>
      <c r="DC59" s="362"/>
    </row>
    <row r="60" spans="1:111" ht="19.5" customHeight="1">
      <c r="A60" s="55" t="s">
        <v>136</v>
      </c>
      <c r="B60" s="55"/>
      <c r="C60" s="55"/>
      <c r="N60" s="21">
        <v>1.1499999999999999</v>
      </c>
      <c r="O60" s="22">
        <f t="shared" ref="O60:R63" si="185">SUMIFS($Q$14:$Q$54,$O$14:$O$54,O$59,$N$14:$N$54,$N60)</f>
        <v>0</v>
      </c>
      <c r="P60" s="22">
        <f t="shared" si="185"/>
        <v>0</v>
      </c>
      <c r="Q60" s="22">
        <f t="shared" si="185"/>
        <v>0</v>
      </c>
      <c r="R60" s="23">
        <f t="shared" si="185"/>
        <v>0</v>
      </c>
      <c r="T60" s="34">
        <v>1.1499999999999999</v>
      </c>
      <c r="U60" s="35">
        <f t="shared" ref="U60:X63" si="186">SUMIFS($P$14:$P$54,$O$14:$O$54,O$59,$N$14:$N$54,$N60)</f>
        <v>0</v>
      </c>
      <c r="V60" s="35">
        <f t="shared" si="186"/>
        <v>0</v>
      </c>
      <c r="W60" s="35">
        <f t="shared" si="186"/>
        <v>0</v>
      </c>
      <c r="X60" s="36">
        <f t="shared" si="186"/>
        <v>0</v>
      </c>
      <c r="Z60" s="7">
        <f>SUMIFS($AF$14:$AF$54,$O$14:$O$54,$O$59)</f>
        <v>65000</v>
      </c>
      <c r="AA60" s="8">
        <f>SUMIFS($AF$14:$AF$54,$O$14:$O$54,$P$59)</f>
        <v>0</v>
      </c>
      <c r="AB60" s="8">
        <f>SUMIFS($AF$14:$AF$54,$O$14:$O$54,$Q$59)</f>
        <v>0</v>
      </c>
      <c r="AC60" s="8">
        <f>SUMIFS($AF$14:$AF$54,$O$14:$O$54,$R$59)</f>
        <v>0</v>
      </c>
      <c r="AD60" s="84">
        <f>SUM(Z60:AC60)</f>
        <v>65000</v>
      </c>
      <c r="AE60" s="87">
        <f>管理シート[[#Totals],[A重油換算]]</f>
        <v>65000</v>
      </c>
      <c r="AF60" s="9"/>
      <c r="AG60" s="9"/>
      <c r="AH60" s="9"/>
      <c r="AL60" s="14"/>
      <c r="AM60" s="14"/>
      <c r="AN60" s="14"/>
      <c r="AO60" s="14"/>
      <c r="AP60" s="14"/>
      <c r="AQ60" s="14"/>
      <c r="AR60" s="14"/>
      <c r="AS60" s="14"/>
      <c r="AT60" s="14"/>
      <c r="AU60" s="14"/>
      <c r="AV60" s="14"/>
      <c r="AW60" s="14"/>
      <c r="AX60" s="14"/>
      <c r="AY60" s="14"/>
      <c r="AZ60" s="14"/>
      <c r="BA60" s="14"/>
      <c r="BB60" s="14"/>
      <c r="BC60" s="213"/>
      <c r="BD60" s="214" t="s">
        <v>37</v>
      </c>
      <c r="BE60" s="214" t="s">
        <v>132</v>
      </c>
      <c r="BF60" s="214" t="s">
        <v>44</v>
      </c>
      <c r="BG60" s="215" t="s">
        <v>46</v>
      </c>
      <c r="BH60" s="216"/>
      <c r="BI60" s="213"/>
      <c r="BJ60" s="214" t="s">
        <v>37</v>
      </c>
      <c r="BK60" s="214" t="s">
        <v>132</v>
      </c>
      <c r="BL60" s="214" t="s">
        <v>44</v>
      </c>
      <c r="BM60" s="215" t="s">
        <v>46</v>
      </c>
      <c r="BN60" s="216"/>
      <c r="BO60" s="213"/>
      <c r="BP60" s="214" t="s">
        <v>37</v>
      </c>
      <c r="BQ60" s="214" t="s">
        <v>132</v>
      </c>
      <c r="BR60" s="214" t="s">
        <v>44</v>
      </c>
      <c r="BS60" s="215" t="s">
        <v>46</v>
      </c>
      <c r="BT60" s="216"/>
      <c r="BU60" s="213"/>
      <c r="BV60" s="214" t="s">
        <v>37</v>
      </c>
      <c r="BW60" s="214" t="s">
        <v>132</v>
      </c>
      <c r="BX60" s="214" t="s">
        <v>44</v>
      </c>
      <c r="BY60" s="215" t="s">
        <v>46</v>
      </c>
      <c r="BZ60" s="216"/>
      <c r="CA60" s="213"/>
      <c r="CB60" s="214" t="s">
        <v>37</v>
      </c>
      <c r="CC60" s="214" t="s">
        <v>132</v>
      </c>
      <c r="CD60" s="214" t="s">
        <v>44</v>
      </c>
      <c r="CE60" s="215" t="s">
        <v>46</v>
      </c>
      <c r="CF60" s="216"/>
      <c r="CG60" s="213"/>
      <c r="CH60" s="214" t="s">
        <v>37</v>
      </c>
      <c r="CI60" s="214" t="s">
        <v>132</v>
      </c>
      <c r="CJ60" s="214" t="s">
        <v>44</v>
      </c>
      <c r="CK60" s="215" t="s">
        <v>46</v>
      </c>
      <c r="CL60" s="216"/>
      <c r="CM60" s="213"/>
      <c r="CN60" s="214" t="s">
        <v>37</v>
      </c>
      <c r="CO60" s="214" t="s">
        <v>132</v>
      </c>
      <c r="CP60" s="214" t="s">
        <v>44</v>
      </c>
      <c r="CQ60" s="215" t="s">
        <v>46</v>
      </c>
      <c r="CR60" s="216"/>
      <c r="CS60" s="213"/>
      <c r="CT60" s="214" t="s">
        <v>37</v>
      </c>
      <c r="CU60" s="214" t="s">
        <v>132</v>
      </c>
      <c r="CV60" s="214" t="s">
        <v>44</v>
      </c>
      <c r="CW60" s="215" t="s">
        <v>46</v>
      </c>
      <c r="CX60" s="216"/>
      <c r="CY60" s="213"/>
      <c r="CZ60" s="214" t="s">
        <v>37</v>
      </c>
      <c r="DA60" s="214" t="s">
        <v>132</v>
      </c>
      <c r="DB60" s="214" t="s">
        <v>44</v>
      </c>
      <c r="DC60" s="215" t="s">
        <v>46</v>
      </c>
    </row>
    <row r="61" spans="1:111" ht="19.5" customHeight="1">
      <c r="A61" s="55" t="s">
        <v>368</v>
      </c>
      <c r="B61" s="55"/>
      <c r="C61" s="55"/>
      <c r="N61" s="21" t="s">
        <v>137</v>
      </c>
      <c r="O61" s="22">
        <f t="shared" si="185"/>
        <v>0</v>
      </c>
      <c r="P61" s="22">
        <f t="shared" si="185"/>
        <v>0</v>
      </c>
      <c r="Q61" s="22">
        <f t="shared" si="185"/>
        <v>0</v>
      </c>
      <c r="R61" s="23">
        <f t="shared" si="185"/>
        <v>0</v>
      </c>
      <c r="T61" s="34" t="s">
        <v>137</v>
      </c>
      <c r="U61" s="35">
        <f t="shared" si="186"/>
        <v>0</v>
      </c>
      <c r="V61" s="35">
        <f t="shared" si="186"/>
        <v>0</v>
      </c>
      <c r="W61" s="35">
        <f t="shared" si="186"/>
        <v>0</v>
      </c>
      <c r="X61" s="36">
        <f t="shared" si="186"/>
        <v>0</v>
      </c>
      <c r="Z61" s="9"/>
      <c r="AL61" s="14"/>
      <c r="AM61" s="14"/>
      <c r="AN61" s="14"/>
      <c r="AO61" s="14"/>
      <c r="AP61" s="14"/>
      <c r="AQ61" s="14"/>
      <c r="AR61" s="14"/>
      <c r="AS61" s="14"/>
      <c r="AT61" s="14"/>
      <c r="AU61" s="14"/>
      <c r="AV61" s="14"/>
      <c r="AW61" s="14"/>
      <c r="AX61" s="14"/>
      <c r="AY61" s="14"/>
      <c r="AZ61" s="14"/>
      <c r="BA61" s="14"/>
      <c r="BB61" s="14"/>
      <c r="BC61" s="217">
        <v>1.1499999999999999</v>
      </c>
      <c r="BD61" s="214">
        <f t="shared" ref="BD61:BG64" si="187">COUNTIFS($BE$14:$BE$54,"&lt;&gt;0",$O$14:$O$54,BD$60,$N$14:$N$54,$BC61)</f>
        <v>0</v>
      </c>
      <c r="BE61" s="214">
        <f t="shared" si="187"/>
        <v>0</v>
      </c>
      <c r="BF61" s="214">
        <f t="shared" si="187"/>
        <v>0</v>
      </c>
      <c r="BG61" s="215">
        <f t="shared" si="187"/>
        <v>0</v>
      </c>
      <c r="BH61" s="216"/>
      <c r="BI61" s="217">
        <v>1.1499999999999999</v>
      </c>
      <c r="BJ61" s="214">
        <f t="shared" ref="BJ61:BM64" si="188">COUNTIFS($BK$14:$BK$54,"&lt;&gt;0",$O$14:$O$54,BJ$60,$N$14:$N$54,$BC61)</f>
        <v>0</v>
      </c>
      <c r="BK61" s="214">
        <f t="shared" si="188"/>
        <v>0</v>
      </c>
      <c r="BL61" s="214">
        <f t="shared" si="188"/>
        <v>0</v>
      </c>
      <c r="BM61" s="215">
        <f t="shared" si="188"/>
        <v>0</v>
      </c>
      <c r="BN61" s="216"/>
      <c r="BO61" s="217">
        <v>1.1499999999999999</v>
      </c>
      <c r="BP61" s="214">
        <f t="shared" ref="BP61:BS64" si="189">COUNTIFS($BQ$14:$BQ$54,"&lt;&gt;0",$O$14:$O$54,BP$60,$N$14:$N$54,$BC61)</f>
        <v>0</v>
      </c>
      <c r="BQ61" s="214">
        <f t="shared" si="189"/>
        <v>0</v>
      </c>
      <c r="BR61" s="214">
        <f t="shared" si="189"/>
        <v>0</v>
      </c>
      <c r="BS61" s="215">
        <f t="shared" si="189"/>
        <v>0</v>
      </c>
      <c r="BT61" s="216"/>
      <c r="BU61" s="217">
        <v>1.1499999999999999</v>
      </c>
      <c r="BV61" s="214">
        <f t="shared" ref="BV61:BY64" si="190">COUNTIFS($BW$14:$BW$54,"&lt;&gt;0",$O$14:$O$54,BV$60,$N$14:$N$54,$BC61)</f>
        <v>0</v>
      </c>
      <c r="BW61" s="214">
        <f t="shared" si="190"/>
        <v>0</v>
      </c>
      <c r="BX61" s="214">
        <f t="shared" si="190"/>
        <v>0</v>
      </c>
      <c r="BY61" s="215">
        <f t="shared" si="190"/>
        <v>0</v>
      </c>
      <c r="BZ61" s="216"/>
      <c r="CA61" s="217">
        <v>1.1499999999999999</v>
      </c>
      <c r="CB61" s="214">
        <f t="shared" ref="CB61:CE64" si="191">COUNTIFS($CC$14:$CC$54,"&lt;&gt;0",$O$14:$O$54,CB$60,$N$14:$N$54,$BC61)</f>
        <v>0</v>
      </c>
      <c r="CC61" s="214">
        <f t="shared" si="191"/>
        <v>0</v>
      </c>
      <c r="CD61" s="214">
        <f t="shared" si="191"/>
        <v>0</v>
      </c>
      <c r="CE61" s="215">
        <f t="shared" si="191"/>
        <v>0</v>
      </c>
      <c r="CF61" s="216"/>
      <c r="CG61" s="217">
        <v>1.1499999999999999</v>
      </c>
      <c r="CH61" s="214">
        <f t="shared" ref="CH61:CK64" si="192">COUNTIFS($CI$14:$CI$54,"&lt;&gt;0",$O$14:$O$54,CH$60,$N$14:$N$54,$BC61)</f>
        <v>0</v>
      </c>
      <c r="CI61" s="214">
        <f t="shared" si="192"/>
        <v>0</v>
      </c>
      <c r="CJ61" s="214">
        <f t="shared" si="192"/>
        <v>0</v>
      </c>
      <c r="CK61" s="215">
        <f t="shared" si="192"/>
        <v>0</v>
      </c>
      <c r="CL61" s="216"/>
      <c r="CM61" s="217">
        <v>1.1499999999999999</v>
      </c>
      <c r="CN61" s="214">
        <f t="shared" ref="CN61:CQ64" si="193">COUNTIFS($CO$14:$CO$54,"&lt;&gt;0",$O$14:$O$54,CN$60,$N$14:$N$54,$BC61)</f>
        <v>0</v>
      </c>
      <c r="CO61" s="214">
        <f t="shared" si="193"/>
        <v>0</v>
      </c>
      <c r="CP61" s="214">
        <f t="shared" si="193"/>
        <v>0</v>
      </c>
      <c r="CQ61" s="215">
        <f t="shared" si="193"/>
        <v>0</v>
      </c>
      <c r="CR61" s="216"/>
      <c r="CS61" s="217">
        <v>1.1499999999999999</v>
      </c>
      <c r="CT61" s="214">
        <f t="shared" ref="CT61:CW64" si="194">COUNTIFS($CU$14:$CU$54,"&lt;&gt;0",$O$14:$O$54,CT$60,$N$14:$N$54,$BC61)</f>
        <v>0</v>
      </c>
      <c r="CU61" s="214">
        <f t="shared" si="194"/>
        <v>0</v>
      </c>
      <c r="CV61" s="214">
        <f t="shared" si="194"/>
        <v>0</v>
      </c>
      <c r="CW61" s="215">
        <f t="shared" si="194"/>
        <v>0</v>
      </c>
      <c r="CX61" s="216"/>
      <c r="CY61" s="217">
        <v>1.1499999999999999</v>
      </c>
      <c r="CZ61" s="214">
        <f t="shared" ref="CZ61:DC64" si="195">COUNTIFS($DA$14:$DA$54,"&lt;&gt;0",$O$14:$O$54,CZ$60,$N$14:$N$54,$BC61)</f>
        <v>0</v>
      </c>
      <c r="DA61" s="214">
        <f t="shared" si="195"/>
        <v>0</v>
      </c>
      <c r="DB61" s="214">
        <f t="shared" si="195"/>
        <v>0</v>
      </c>
      <c r="DC61" s="215">
        <f t="shared" si="195"/>
        <v>0</v>
      </c>
    </row>
    <row r="62" spans="1:111" ht="19.5" customHeight="1">
      <c r="A62" s="56" t="s">
        <v>369</v>
      </c>
      <c r="B62" s="55"/>
      <c r="C62" s="55"/>
      <c r="N62" s="21" t="s">
        <v>138</v>
      </c>
      <c r="O62" s="22">
        <f t="shared" si="185"/>
        <v>428400</v>
      </c>
      <c r="P62" s="22">
        <f t="shared" si="185"/>
        <v>0</v>
      </c>
      <c r="Q62" s="22">
        <f t="shared" si="185"/>
        <v>0</v>
      </c>
      <c r="R62" s="23">
        <f t="shared" si="185"/>
        <v>0</v>
      </c>
      <c r="T62" s="34" t="s">
        <v>138</v>
      </c>
      <c r="U62" s="35">
        <f t="shared" si="186"/>
        <v>21000</v>
      </c>
      <c r="V62" s="35">
        <f t="shared" si="186"/>
        <v>0</v>
      </c>
      <c r="W62" s="35">
        <f t="shared" si="186"/>
        <v>0</v>
      </c>
      <c r="X62" s="36">
        <f t="shared" si="186"/>
        <v>0</v>
      </c>
      <c r="Z62" s="46"/>
      <c r="AA62" s="63" t="s">
        <v>139</v>
      </c>
      <c r="AB62" s="47"/>
      <c r="AC62" s="47"/>
      <c r="AD62" s="47"/>
      <c r="AE62" s="48"/>
      <c r="AL62" s="14"/>
      <c r="AM62" s="14"/>
      <c r="AN62" s="14"/>
      <c r="AO62" s="14"/>
      <c r="AP62" s="14"/>
      <c r="AQ62" s="14"/>
      <c r="AR62" s="14"/>
      <c r="AS62" s="14"/>
      <c r="AT62" s="14"/>
      <c r="AU62" s="14"/>
      <c r="AV62" s="14"/>
      <c r="AW62" s="14"/>
      <c r="AX62" s="14"/>
      <c r="AY62" s="14"/>
      <c r="AZ62" s="14"/>
      <c r="BA62" s="14"/>
      <c r="BB62" s="14"/>
      <c r="BC62" s="217" t="s">
        <v>137</v>
      </c>
      <c r="BD62" s="214">
        <f t="shared" si="187"/>
        <v>0</v>
      </c>
      <c r="BE62" s="214">
        <f t="shared" si="187"/>
        <v>0</v>
      </c>
      <c r="BF62" s="214">
        <f t="shared" si="187"/>
        <v>0</v>
      </c>
      <c r="BG62" s="215">
        <f t="shared" si="187"/>
        <v>0</v>
      </c>
      <c r="BH62" s="216"/>
      <c r="BI62" s="217" t="s">
        <v>137</v>
      </c>
      <c r="BJ62" s="214">
        <f t="shared" si="188"/>
        <v>0</v>
      </c>
      <c r="BK62" s="214">
        <f t="shared" si="188"/>
        <v>0</v>
      </c>
      <c r="BL62" s="214">
        <f t="shared" si="188"/>
        <v>0</v>
      </c>
      <c r="BM62" s="215">
        <f t="shared" si="188"/>
        <v>0</v>
      </c>
      <c r="BN62" s="216"/>
      <c r="BO62" s="217" t="s">
        <v>137</v>
      </c>
      <c r="BP62" s="214">
        <f t="shared" si="189"/>
        <v>0</v>
      </c>
      <c r="BQ62" s="214">
        <f t="shared" si="189"/>
        <v>0</v>
      </c>
      <c r="BR62" s="214">
        <f t="shared" si="189"/>
        <v>0</v>
      </c>
      <c r="BS62" s="215">
        <f t="shared" si="189"/>
        <v>0</v>
      </c>
      <c r="BT62" s="216"/>
      <c r="BU62" s="217" t="s">
        <v>137</v>
      </c>
      <c r="BV62" s="214">
        <f t="shared" si="190"/>
        <v>0</v>
      </c>
      <c r="BW62" s="214">
        <f t="shared" si="190"/>
        <v>0</v>
      </c>
      <c r="BX62" s="214">
        <f t="shared" si="190"/>
        <v>0</v>
      </c>
      <c r="BY62" s="215">
        <f t="shared" si="190"/>
        <v>0</v>
      </c>
      <c r="BZ62" s="216"/>
      <c r="CA62" s="217" t="s">
        <v>137</v>
      </c>
      <c r="CB62" s="214">
        <f t="shared" si="191"/>
        <v>0</v>
      </c>
      <c r="CC62" s="214">
        <f t="shared" si="191"/>
        <v>0</v>
      </c>
      <c r="CD62" s="214">
        <f t="shared" si="191"/>
        <v>0</v>
      </c>
      <c r="CE62" s="215">
        <f t="shared" si="191"/>
        <v>0</v>
      </c>
      <c r="CF62" s="216"/>
      <c r="CG62" s="217" t="s">
        <v>137</v>
      </c>
      <c r="CH62" s="214">
        <f t="shared" si="192"/>
        <v>0</v>
      </c>
      <c r="CI62" s="214">
        <f t="shared" si="192"/>
        <v>0</v>
      </c>
      <c r="CJ62" s="214">
        <f t="shared" si="192"/>
        <v>0</v>
      </c>
      <c r="CK62" s="215">
        <f t="shared" si="192"/>
        <v>0</v>
      </c>
      <c r="CL62" s="216"/>
      <c r="CM62" s="217" t="s">
        <v>137</v>
      </c>
      <c r="CN62" s="214">
        <f t="shared" si="193"/>
        <v>0</v>
      </c>
      <c r="CO62" s="214">
        <f t="shared" si="193"/>
        <v>0</v>
      </c>
      <c r="CP62" s="214">
        <f t="shared" si="193"/>
        <v>0</v>
      </c>
      <c r="CQ62" s="215">
        <f t="shared" si="193"/>
        <v>0</v>
      </c>
      <c r="CR62" s="216"/>
      <c r="CS62" s="217" t="s">
        <v>137</v>
      </c>
      <c r="CT62" s="214">
        <f t="shared" si="194"/>
        <v>0</v>
      </c>
      <c r="CU62" s="214">
        <f t="shared" si="194"/>
        <v>0</v>
      </c>
      <c r="CV62" s="214">
        <f t="shared" si="194"/>
        <v>0</v>
      </c>
      <c r="CW62" s="215">
        <f t="shared" si="194"/>
        <v>0</v>
      </c>
      <c r="CX62" s="216"/>
      <c r="CY62" s="217" t="s">
        <v>137</v>
      </c>
      <c r="CZ62" s="214">
        <f t="shared" si="195"/>
        <v>0</v>
      </c>
      <c r="DA62" s="214">
        <f t="shared" si="195"/>
        <v>0</v>
      </c>
      <c r="DB62" s="214">
        <f t="shared" si="195"/>
        <v>0</v>
      </c>
      <c r="DC62" s="215">
        <f t="shared" si="195"/>
        <v>0</v>
      </c>
    </row>
    <row r="63" spans="1:111" ht="19.5" customHeight="1">
      <c r="A63" s="56" t="s">
        <v>140</v>
      </c>
      <c r="B63" s="55"/>
      <c r="C63" s="55"/>
      <c r="N63" s="21" t="s">
        <v>141</v>
      </c>
      <c r="O63" s="22">
        <f t="shared" si="185"/>
        <v>0</v>
      </c>
      <c r="P63" s="22">
        <f t="shared" si="185"/>
        <v>0</v>
      </c>
      <c r="Q63" s="22">
        <f t="shared" si="185"/>
        <v>0</v>
      </c>
      <c r="R63" s="23">
        <f t="shared" si="185"/>
        <v>0</v>
      </c>
      <c r="T63" s="34" t="s">
        <v>141</v>
      </c>
      <c r="U63" s="35">
        <f t="shared" si="186"/>
        <v>0</v>
      </c>
      <c r="V63" s="35">
        <f t="shared" si="186"/>
        <v>0</v>
      </c>
      <c r="W63" s="35">
        <f t="shared" si="186"/>
        <v>0</v>
      </c>
      <c r="X63" s="36">
        <f t="shared" si="186"/>
        <v>0</v>
      </c>
      <c r="Z63" s="49" t="s">
        <v>37</v>
      </c>
      <c r="AA63" s="50" t="s">
        <v>132</v>
      </c>
      <c r="AB63" s="50" t="s">
        <v>44</v>
      </c>
      <c r="AC63" s="50" t="s">
        <v>46</v>
      </c>
      <c r="AD63" s="50" t="s">
        <v>133</v>
      </c>
      <c r="AE63" s="88" t="s">
        <v>142</v>
      </c>
      <c r="AL63" s="14"/>
      <c r="AM63" s="14"/>
      <c r="AN63" s="14"/>
      <c r="AO63" s="14"/>
      <c r="AP63" s="14"/>
      <c r="AQ63" s="14"/>
      <c r="AR63" s="14"/>
      <c r="AS63" s="14"/>
      <c r="AT63" s="14"/>
      <c r="AU63" s="14"/>
      <c r="AV63" s="14"/>
      <c r="AW63" s="14"/>
      <c r="AX63" s="14"/>
      <c r="AY63" s="14"/>
      <c r="AZ63" s="14"/>
      <c r="BA63" s="14"/>
      <c r="BB63" s="14"/>
      <c r="BC63" s="217" t="s">
        <v>138</v>
      </c>
      <c r="BD63" s="214">
        <f t="shared" si="187"/>
        <v>1</v>
      </c>
      <c r="BE63" s="214">
        <f t="shared" si="187"/>
        <v>0</v>
      </c>
      <c r="BF63" s="214">
        <f t="shared" si="187"/>
        <v>0</v>
      </c>
      <c r="BG63" s="215">
        <f t="shared" si="187"/>
        <v>0</v>
      </c>
      <c r="BH63" s="216"/>
      <c r="BI63" s="217" t="s">
        <v>138</v>
      </c>
      <c r="BJ63" s="214">
        <f t="shared" si="188"/>
        <v>0</v>
      </c>
      <c r="BK63" s="214">
        <f t="shared" si="188"/>
        <v>0</v>
      </c>
      <c r="BL63" s="214">
        <f t="shared" si="188"/>
        <v>0</v>
      </c>
      <c r="BM63" s="215">
        <f t="shared" si="188"/>
        <v>0</v>
      </c>
      <c r="BN63" s="216"/>
      <c r="BO63" s="217" t="s">
        <v>138</v>
      </c>
      <c r="BP63" s="214">
        <f t="shared" si="189"/>
        <v>0</v>
      </c>
      <c r="BQ63" s="214">
        <f t="shared" si="189"/>
        <v>0</v>
      </c>
      <c r="BR63" s="214">
        <f t="shared" si="189"/>
        <v>0</v>
      </c>
      <c r="BS63" s="215">
        <f t="shared" si="189"/>
        <v>0</v>
      </c>
      <c r="BT63" s="216"/>
      <c r="BU63" s="217" t="s">
        <v>138</v>
      </c>
      <c r="BV63" s="214">
        <f t="shared" si="190"/>
        <v>0</v>
      </c>
      <c r="BW63" s="214">
        <f t="shared" si="190"/>
        <v>0</v>
      </c>
      <c r="BX63" s="214">
        <f t="shared" si="190"/>
        <v>0</v>
      </c>
      <c r="BY63" s="215">
        <f t="shared" si="190"/>
        <v>0</v>
      </c>
      <c r="BZ63" s="216"/>
      <c r="CA63" s="217" t="s">
        <v>138</v>
      </c>
      <c r="CB63" s="214">
        <f t="shared" si="191"/>
        <v>0</v>
      </c>
      <c r="CC63" s="214">
        <f t="shared" si="191"/>
        <v>0</v>
      </c>
      <c r="CD63" s="214">
        <f t="shared" si="191"/>
        <v>0</v>
      </c>
      <c r="CE63" s="215">
        <f t="shared" si="191"/>
        <v>0</v>
      </c>
      <c r="CF63" s="216"/>
      <c r="CG63" s="217" t="s">
        <v>138</v>
      </c>
      <c r="CH63" s="214">
        <f t="shared" si="192"/>
        <v>0</v>
      </c>
      <c r="CI63" s="214">
        <f t="shared" si="192"/>
        <v>0</v>
      </c>
      <c r="CJ63" s="214">
        <f t="shared" si="192"/>
        <v>0</v>
      </c>
      <c r="CK63" s="215">
        <f t="shared" si="192"/>
        <v>0</v>
      </c>
      <c r="CL63" s="216"/>
      <c r="CM63" s="217" t="s">
        <v>138</v>
      </c>
      <c r="CN63" s="214">
        <f t="shared" si="193"/>
        <v>0</v>
      </c>
      <c r="CO63" s="214">
        <f t="shared" si="193"/>
        <v>0</v>
      </c>
      <c r="CP63" s="214">
        <f t="shared" si="193"/>
        <v>0</v>
      </c>
      <c r="CQ63" s="215">
        <f t="shared" si="193"/>
        <v>0</v>
      </c>
      <c r="CR63" s="216"/>
      <c r="CS63" s="217" t="s">
        <v>138</v>
      </c>
      <c r="CT63" s="214">
        <f t="shared" si="194"/>
        <v>0</v>
      </c>
      <c r="CU63" s="214">
        <f t="shared" si="194"/>
        <v>0</v>
      </c>
      <c r="CV63" s="214">
        <f t="shared" si="194"/>
        <v>0</v>
      </c>
      <c r="CW63" s="215">
        <f t="shared" si="194"/>
        <v>0</v>
      </c>
      <c r="CX63" s="216"/>
      <c r="CY63" s="217" t="s">
        <v>138</v>
      </c>
      <c r="CZ63" s="214">
        <f t="shared" si="195"/>
        <v>0</v>
      </c>
      <c r="DA63" s="214">
        <f t="shared" si="195"/>
        <v>0</v>
      </c>
      <c r="DB63" s="214">
        <f t="shared" si="195"/>
        <v>0</v>
      </c>
      <c r="DC63" s="215">
        <f t="shared" si="195"/>
        <v>0</v>
      </c>
    </row>
    <row r="64" spans="1:111" ht="19.5" customHeight="1">
      <c r="A64" s="57" t="s">
        <v>143</v>
      </c>
      <c r="B64" s="57"/>
      <c r="C64" s="57"/>
      <c r="N64" s="19" t="s">
        <v>144</v>
      </c>
      <c r="O64" s="254">
        <f>SUM(O60:O63)</f>
        <v>428400</v>
      </c>
      <c r="P64" s="254">
        <f>SUM(P60:P63)</f>
        <v>0</v>
      </c>
      <c r="Q64" s="254">
        <f>SUM(Q60:Q63)</f>
        <v>0</v>
      </c>
      <c r="R64" s="24">
        <f>SUM(R60:R63)</f>
        <v>0</v>
      </c>
      <c r="S64" s="9"/>
      <c r="T64" s="32" t="s">
        <v>144</v>
      </c>
      <c r="U64" s="252">
        <f>SUM(U60:U63)</f>
        <v>21000</v>
      </c>
      <c r="V64" s="252">
        <f>SUM(V60:V63)</f>
        <v>0</v>
      </c>
      <c r="W64" s="252">
        <f>SUM(W60:W63)</f>
        <v>0</v>
      </c>
      <c r="X64" s="37">
        <f>SUM(X60:X63)</f>
        <v>0</v>
      </c>
      <c r="Z64" s="51">
        <f>SUMIFS($AH$14:$AH$54,$O$14:$O$54,$O$59)</f>
        <v>55200</v>
      </c>
      <c r="AA64" s="52">
        <f>SUMIFS($AH$14:$AH$54,$O$14:$O$54,$P$59)</f>
        <v>0</v>
      </c>
      <c r="AB64" s="52">
        <f>SUMIFS($AH$14:$AH$54,$O$14:$O$54,$Q$59)</f>
        <v>0</v>
      </c>
      <c r="AC64" s="52">
        <f>SUMIFS($AH$14:$AH$54,$O$14:$O$54,$R$59)</f>
        <v>0</v>
      </c>
      <c r="AD64" s="85">
        <f>SUM(Z64:AC64)</f>
        <v>55200</v>
      </c>
      <c r="AE64" s="89">
        <f>管理シート[[#Totals],[A重油換算2]]</f>
        <v>55200</v>
      </c>
      <c r="AF64" s="9"/>
      <c r="AG64" s="9"/>
      <c r="AH64" s="9"/>
      <c r="AL64" s="15"/>
      <c r="AM64" s="15"/>
      <c r="AN64" s="15"/>
      <c r="AO64" s="15"/>
      <c r="AP64" s="15"/>
      <c r="AQ64" s="15"/>
      <c r="AR64" s="15"/>
      <c r="AS64" s="15"/>
      <c r="AT64" s="15"/>
      <c r="AU64" s="15"/>
      <c r="AV64" s="15"/>
      <c r="AW64" s="15"/>
      <c r="AX64" s="15"/>
      <c r="AY64" s="15"/>
      <c r="AZ64" s="15"/>
      <c r="BA64" s="15"/>
      <c r="BB64" s="15"/>
      <c r="BC64" s="217" t="s">
        <v>141</v>
      </c>
      <c r="BD64" s="214">
        <f t="shared" si="187"/>
        <v>0</v>
      </c>
      <c r="BE64" s="214">
        <f t="shared" si="187"/>
        <v>0</v>
      </c>
      <c r="BF64" s="214">
        <f t="shared" si="187"/>
        <v>0</v>
      </c>
      <c r="BG64" s="215">
        <f t="shared" si="187"/>
        <v>0</v>
      </c>
      <c r="BH64" s="218"/>
      <c r="BI64" s="217" t="s">
        <v>141</v>
      </c>
      <c r="BJ64" s="214">
        <f t="shared" si="188"/>
        <v>0</v>
      </c>
      <c r="BK64" s="214">
        <f t="shared" si="188"/>
        <v>0</v>
      </c>
      <c r="BL64" s="214">
        <f t="shared" si="188"/>
        <v>0</v>
      </c>
      <c r="BM64" s="215">
        <f t="shared" si="188"/>
        <v>0</v>
      </c>
      <c r="BN64" s="218"/>
      <c r="BO64" s="217" t="s">
        <v>141</v>
      </c>
      <c r="BP64" s="214">
        <f t="shared" si="189"/>
        <v>0</v>
      </c>
      <c r="BQ64" s="214">
        <f t="shared" si="189"/>
        <v>0</v>
      </c>
      <c r="BR64" s="214">
        <f t="shared" si="189"/>
        <v>0</v>
      </c>
      <c r="BS64" s="215">
        <f t="shared" si="189"/>
        <v>0</v>
      </c>
      <c r="BT64" s="218"/>
      <c r="BU64" s="217" t="s">
        <v>141</v>
      </c>
      <c r="BV64" s="214">
        <f t="shared" si="190"/>
        <v>0</v>
      </c>
      <c r="BW64" s="214">
        <f t="shared" si="190"/>
        <v>0</v>
      </c>
      <c r="BX64" s="214">
        <f t="shared" si="190"/>
        <v>0</v>
      </c>
      <c r="BY64" s="215">
        <f t="shared" si="190"/>
        <v>0</v>
      </c>
      <c r="BZ64" s="218"/>
      <c r="CA64" s="217" t="s">
        <v>141</v>
      </c>
      <c r="CB64" s="214">
        <f t="shared" si="191"/>
        <v>0</v>
      </c>
      <c r="CC64" s="214">
        <f t="shared" si="191"/>
        <v>0</v>
      </c>
      <c r="CD64" s="214">
        <f t="shared" si="191"/>
        <v>0</v>
      </c>
      <c r="CE64" s="215">
        <f t="shared" si="191"/>
        <v>0</v>
      </c>
      <c r="CF64" s="218"/>
      <c r="CG64" s="217" t="s">
        <v>141</v>
      </c>
      <c r="CH64" s="214">
        <f t="shared" si="192"/>
        <v>0</v>
      </c>
      <c r="CI64" s="214">
        <f t="shared" si="192"/>
        <v>0</v>
      </c>
      <c r="CJ64" s="214">
        <f t="shared" si="192"/>
        <v>0</v>
      </c>
      <c r="CK64" s="215">
        <f t="shared" si="192"/>
        <v>0</v>
      </c>
      <c r="CL64" s="218"/>
      <c r="CM64" s="217" t="s">
        <v>141</v>
      </c>
      <c r="CN64" s="214">
        <f t="shared" si="193"/>
        <v>0</v>
      </c>
      <c r="CO64" s="214">
        <f t="shared" si="193"/>
        <v>0</v>
      </c>
      <c r="CP64" s="214">
        <f t="shared" si="193"/>
        <v>0</v>
      </c>
      <c r="CQ64" s="215">
        <f t="shared" si="193"/>
        <v>0</v>
      </c>
      <c r="CR64" s="218"/>
      <c r="CS64" s="217" t="s">
        <v>141</v>
      </c>
      <c r="CT64" s="214">
        <f t="shared" si="194"/>
        <v>0</v>
      </c>
      <c r="CU64" s="214">
        <f t="shared" si="194"/>
        <v>0</v>
      </c>
      <c r="CV64" s="214">
        <f t="shared" si="194"/>
        <v>0</v>
      </c>
      <c r="CW64" s="215">
        <f t="shared" si="194"/>
        <v>0</v>
      </c>
      <c r="CX64" s="218"/>
      <c r="CY64" s="217" t="s">
        <v>141</v>
      </c>
      <c r="CZ64" s="214">
        <f t="shared" si="195"/>
        <v>0</v>
      </c>
      <c r="DA64" s="214">
        <f t="shared" si="195"/>
        <v>0</v>
      </c>
      <c r="DB64" s="214">
        <f t="shared" si="195"/>
        <v>0</v>
      </c>
      <c r="DC64" s="215">
        <f t="shared" si="195"/>
        <v>0</v>
      </c>
    </row>
    <row r="65" spans="1:107" ht="19.5" customHeight="1">
      <c r="A65" s="57" t="s">
        <v>145</v>
      </c>
      <c r="B65" s="55"/>
      <c r="C65" s="55"/>
      <c r="N65" s="25" t="s">
        <v>133</v>
      </c>
      <c r="O65" s="26">
        <f>SUM(O64:R64)</f>
        <v>428400</v>
      </c>
      <c r="P65" s="27"/>
      <c r="Q65" s="27"/>
      <c r="R65" s="28"/>
      <c r="T65" s="38" t="s">
        <v>133</v>
      </c>
      <c r="U65" s="39">
        <f>SUM(U64:X64)</f>
        <v>21000</v>
      </c>
      <c r="V65" s="40"/>
      <c r="W65" s="40"/>
      <c r="X65" s="41"/>
      <c r="AL65" s="14"/>
      <c r="AM65" s="14"/>
      <c r="AN65" s="14"/>
      <c r="AO65" s="14"/>
      <c r="AP65" s="14"/>
      <c r="AQ65" s="14"/>
      <c r="AR65" s="14"/>
      <c r="AS65" s="14"/>
      <c r="AT65" s="14"/>
      <c r="AU65" s="14"/>
      <c r="AV65" s="14"/>
      <c r="AW65" s="14"/>
      <c r="AX65" s="14"/>
      <c r="AY65" s="14"/>
      <c r="AZ65" s="14"/>
      <c r="BA65" s="14"/>
      <c r="BB65" s="14"/>
      <c r="BC65" s="217" t="s">
        <v>146</v>
      </c>
      <c r="BD65" s="214">
        <f>SUM(BD61:BD64)</f>
        <v>1</v>
      </c>
      <c r="BE65" s="214">
        <f>SUM(BE61:BE64)</f>
        <v>0</v>
      </c>
      <c r="BF65" s="214">
        <f>SUM(BF61:BF64)</f>
        <v>0</v>
      </c>
      <c r="BG65" s="215">
        <f>SUM(BG61:BG64)</f>
        <v>0</v>
      </c>
      <c r="BH65" s="218"/>
      <c r="BI65" s="217" t="s">
        <v>146</v>
      </c>
      <c r="BJ65" s="214">
        <f>SUM(BJ61:BJ64)</f>
        <v>0</v>
      </c>
      <c r="BK65" s="214">
        <f>SUM(BK61:BK64)</f>
        <v>0</v>
      </c>
      <c r="BL65" s="214">
        <f>SUM(BL61:BL64)</f>
        <v>0</v>
      </c>
      <c r="BM65" s="215">
        <f>SUM(BM61:BM64)</f>
        <v>0</v>
      </c>
      <c r="BN65" s="218"/>
      <c r="BO65" s="217" t="s">
        <v>146</v>
      </c>
      <c r="BP65" s="214">
        <f>SUM(BP61:BP64)</f>
        <v>0</v>
      </c>
      <c r="BQ65" s="214">
        <f>SUM(BQ61:BQ64)</f>
        <v>0</v>
      </c>
      <c r="BR65" s="214">
        <f>SUM(BR61:BR64)</f>
        <v>0</v>
      </c>
      <c r="BS65" s="215">
        <f>SUM(BS61:BS64)</f>
        <v>0</v>
      </c>
      <c r="BT65" s="218"/>
      <c r="BU65" s="217" t="s">
        <v>146</v>
      </c>
      <c r="BV65" s="214">
        <f>SUM(BV61:BV64)</f>
        <v>0</v>
      </c>
      <c r="BW65" s="214">
        <f>SUM(BW61:BW64)</f>
        <v>0</v>
      </c>
      <c r="BX65" s="214">
        <f>SUM(BX61:BX64)</f>
        <v>0</v>
      </c>
      <c r="BY65" s="215">
        <f>SUM(BY61:BY64)</f>
        <v>0</v>
      </c>
      <c r="BZ65" s="218"/>
      <c r="CA65" s="217" t="s">
        <v>146</v>
      </c>
      <c r="CB65" s="214">
        <f>SUM(CB61:CB64)</f>
        <v>0</v>
      </c>
      <c r="CC65" s="214">
        <f>SUM(CC61:CC64)</f>
        <v>0</v>
      </c>
      <c r="CD65" s="214">
        <f>SUM(CD61:CD64)</f>
        <v>0</v>
      </c>
      <c r="CE65" s="215">
        <f>SUM(CE61:CE64)</f>
        <v>0</v>
      </c>
      <c r="CF65" s="218"/>
      <c r="CG65" s="217" t="s">
        <v>146</v>
      </c>
      <c r="CH65" s="214">
        <f>SUM(CH61:CH64)</f>
        <v>0</v>
      </c>
      <c r="CI65" s="214">
        <f>SUM(CI61:CI64)</f>
        <v>0</v>
      </c>
      <c r="CJ65" s="214">
        <f>SUM(CJ61:CJ64)</f>
        <v>0</v>
      </c>
      <c r="CK65" s="215">
        <f>SUM(CK61:CK64)</f>
        <v>0</v>
      </c>
      <c r="CL65" s="218"/>
      <c r="CM65" s="217" t="s">
        <v>146</v>
      </c>
      <c r="CN65" s="214">
        <f>SUM(CN61:CN64)</f>
        <v>0</v>
      </c>
      <c r="CO65" s="214">
        <f>SUM(CO61:CO64)</f>
        <v>0</v>
      </c>
      <c r="CP65" s="214">
        <f>SUM(CP61:CP64)</f>
        <v>0</v>
      </c>
      <c r="CQ65" s="215">
        <f>SUM(CQ61:CQ64)</f>
        <v>0</v>
      </c>
      <c r="CR65" s="218"/>
      <c r="CS65" s="217" t="s">
        <v>146</v>
      </c>
      <c r="CT65" s="214">
        <f>SUM(CT61:CT64)</f>
        <v>0</v>
      </c>
      <c r="CU65" s="214">
        <f>SUM(CU61:CU64)</f>
        <v>0</v>
      </c>
      <c r="CV65" s="214">
        <f>SUM(CV61:CV64)</f>
        <v>0</v>
      </c>
      <c r="CW65" s="215">
        <f>SUM(CW61:CW64)</f>
        <v>0</v>
      </c>
      <c r="CX65" s="218"/>
      <c r="CY65" s="217" t="s">
        <v>146</v>
      </c>
      <c r="CZ65" s="214">
        <f>SUM(CZ61:CZ64)</f>
        <v>0</v>
      </c>
      <c r="DA65" s="214">
        <f>SUM(DA61:DA64)</f>
        <v>0</v>
      </c>
      <c r="DB65" s="214">
        <f>SUM(DB61:DB64)</f>
        <v>0</v>
      </c>
      <c r="DC65" s="215">
        <f>SUM(DC61:DC64)</f>
        <v>0</v>
      </c>
    </row>
    <row r="66" spans="1:107" ht="19.5" customHeight="1">
      <c r="A66" s="58"/>
      <c r="B66" s="55"/>
      <c r="C66" s="55"/>
      <c r="N66" s="3"/>
      <c r="AL66" s="14"/>
      <c r="AM66" s="14"/>
      <c r="AN66" s="14"/>
      <c r="AO66" s="14"/>
      <c r="AP66" s="14"/>
      <c r="AQ66" s="14"/>
      <c r="AR66" s="14"/>
      <c r="AS66" s="14"/>
      <c r="AT66" s="14"/>
      <c r="AU66" s="14"/>
      <c r="AV66" s="14"/>
      <c r="AW66" s="14"/>
      <c r="AX66" s="14"/>
      <c r="AY66" s="14"/>
      <c r="AZ66" s="14"/>
      <c r="BA66" s="14"/>
      <c r="BB66" s="14"/>
      <c r="BC66" s="219" t="s">
        <v>147</v>
      </c>
      <c r="BD66" s="220">
        <f>BD65+BE65+BF65+BG65</f>
        <v>1</v>
      </c>
      <c r="BE66" s="221"/>
      <c r="BF66" s="221"/>
      <c r="BG66" s="222"/>
      <c r="BH66" s="218"/>
      <c r="BI66" s="219" t="s">
        <v>147</v>
      </c>
      <c r="BJ66" s="220">
        <f>BJ65+BK65+BL65+BM65</f>
        <v>0</v>
      </c>
      <c r="BK66" s="221"/>
      <c r="BL66" s="221"/>
      <c r="BM66" s="222"/>
      <c r="BN66" s="218"/>
      <c r="BO66" s="219" t="s">
        <v>147</v>
      </c>
      <c r="BP66" s="220">
        <f>BP65+BQ65+BR65+BS65</f>
        <v>0</v>
      </c>
      <c r="BQ66" s="221"/>
      <c r="BR66" s="221"/>
      <c r="BS66" s="222"/>
      <c r="BT66" s="218"/>
      <c r="BU66" s="219" t="s">
        <v>147</v>
      </c>
      <c r="BV66" s="220">
        <f>BV65+BW65+BX65+BY65</f>
        <v>0</v>
      </c>
      <c r="BW66" s="221"/>
      <c r="BX66" s="221"/>
      <c r="BY66" s="222"/>
      <c r="BZ66" s="218"/>
      <c r="CA66" s="219" t="s">
        <v>147</v>
      </c>
      <c r="CB66" s="220">
        <f>CB65+CC65+CD65+CE65</f>
        <v>0</v>
      </c>
      <c r="CC66" s="221"/>
      <c r="CD66" s="221"/>
      <c r="CE66" s="222"/>
      <c r="CF66" s="218"/>
      <c r="CG66" s="219" t="s">
        <v>147</v>
      </c>
      <c r="CH66" s="220">
        <f>CH65+CI65+CJ65+CK65</f>
        <v>0</v>
      </c>
      <c r="CI66" s="221"/>
      <c r="CJ66" s="221"/>
      <c r="CK66" s="222"/>
      <c r="CL66" s="218"/>
      <c r="CM66" s="219" t="s">
        <v>147</v>
      </c>
      <c r="CN66" s="220">
        <f>CN65+CO65+CP65+CQ65</f>
        <v>0</v>
      </c>
      <c r="CO66" s="221"/>
      <c r="CP66" s="221"/>
      <c r="CQ66" s="222"/>
      <c r="CR66" s="218"/>
      <c r="CS66" s="219" t="s">
        <v>147</v>
      </c>
      <c r="CT66" s="220">
        <f>CT65+CU65+CV65+CW65</f>
        <v>0</v>
      </c>
      <c r="CU66" s="221"/>
      <c r="CV66" s="221"/>
      <c r="CW66" s="222"/>
      <c r="CX66" s="218"/>
      <c r="CY66" s="219" t="s">
        <v>147</v>
      </c>
      <c r="CZ66" s="220">
        <f>CZ65+DA65+DB65+DC65</f>
        <v>0</v>
      </c>
      <c r="DA66" s="221"/>
      <c r="DB66" s="221"/>
      <c r="DC66" s="222"/>
    </row>
    <row r="67" spans="1:107" ht="19.5" customHeight="1">
      <c r="A67" s="58"/>
      <c r="B67" s="55"/>
      <c r="C67" s="55"/>
      <c r="N67" s="3"/>
      <c r="AL67" s="14"/>
      <c r="AM67" s="14"/>
      <c r="AN67" s="14"/>
      <c r="AO67" s="14"/>
      <c r="AP67" s="14"/>
      <c r="AQ67" s="14"/>
      <c r="AR67" s="14"/>
      <c r="AS67" s="14"/>
      <c r="AT67" s="14"/>
      <c r="AU67" s="14"/>
      <c r="AV67" s="14"/>
      <c r="AW67" s="14"/>
      <c r="AX67" s="14"/>
      <c r="AY67" s="14"/>
      <c r="AZ67" s="14"/>
      <c r="BA67" s="14"/>
      <c r="BB67" s="14"/>
      <c r="BC67" s="218"/>
      <c r="BD67" s="212"/>
      <c r="BE67" s="212"/>
      <c r="BF67" s="212"/>
      <c r="BG67" s="212"/>
      <c r="BH67" s="216"/>
      <c r="BI67" s="218"/>
      <c r="BJ67" s="212"/>
      <c r="BK67" s="212"/>
      <c r="BL67" s="212"/>
      <c r="BM67" s="212"/>
      <c r="BN67" s="216"/>
      <c r="BO67" s="218"/>
      <c r="BP67" s="212"/>
      <c r="BQ67" s="212"/>
      <c r="BR67" s="212"/>
      <c r="BS67" s="212"/>
      <c r="BT67" s="216"/>
      <c r="BU67" s="218"/>
      <c r="BV67" s="212"/>
      <c r="BW67" s="212"/>
      <c r="BX67" s="212"/>
      <c r="BY67" s="212"/>
      <c r="BZ67" s="216"/>
      <c r="CA67" s="218"/>
      <c r="CB67" s="212"/>
      <c r="CC67" s="212"/>
      <c r="CD67" s="212"/>
      <c r="CE67" s="212"/>
      <c r="CF67" s="216"/>
      <c r="CG67" s="218"/>
      <c r="CH67" s="212"/>
      <c r="CI67" s="212"/>
      <c r="CJ67" s="212"/>
      <c r="CK67" s="212"/>
      <c r="CL67" s="216"/>
      <c r="CM67" s="218"/>
      <c r="CN67" s="212"/>
      <c r="CO67" s="212"/>
      <c r="CP67" s="212"/>
      <c r="CQ67" s="212"/>
      <c r="CR67" s="216"/>
      <c r="CS67" s="218"/>
      <c r="CT67" s="212"/>
      <c r="CU67" s="212"/>
      <c r="CV67" s="212"/>
      <c r="CW67" s="212"/>
      <c r="CX67" s="216"/>
      <c r="CY67" s="218"/>
      <c r="CZ67" s="212"/>
      <c r="DA67" s="212"/>
      <c r="DB67" s="212"/>
      <c r="DC67" s="212"/>
    </row>
    <row r="68" spans="1:107" ht="19.5" customHeight="1">
      <c r="A68" s="55"/>
      <c r="B68" s="58"/>
      <c r="C68" s="55"/>
      <c r="N68" s="3"/>
      <c r="AL68" s="14"/>
      <c r="AM68" s="14"/>
      <c r="AN68" s="14"/>
      <c r="AO68" s="14"/>
      <c r="AP68" s="14"/>
      <c r="AQ68" s="14"/>
      <c r="AR68" s="14"/>
      <c r="AS68" s="14"/>
      <c r="AT68" s="14"/>
      <c r="AU68" s="14"/>
      <c r="AV68" s="14"/>
      <c r="AW68" s="14"/>
      <c r="AX68" s="14"/>
      <c r="AY68" s="14"/>
      <c r="AZ68" s="14"/>
      <c r="BA68" s="14"/>
      <c r="BB68" s="14"/>
      <c r="BC68" s="223"/>
      <c r="BD68" s="313" t="s">
        <v>148</v>
      </c>
      <c r="BE68" s="313"/>
      <c r="BF68" s="314"/>
      <c r="BG68" s="315"/>
      <c r="BH68" s="216"/>
      <c r="BI68" s="223"/>
      <c r="BJ68" s="313" t="s">
        <v>148</v>
      </c>
      <c r="BK68" s="313"/>
      <c r="BL68" s="314"/>
      <c r="BM68" s="315"/>
      <c r="BN68" s="216"/>
      <c r="BO68" s="223"/>
      <c r="BP68" s="313" t="s">
        <v>148</v>
      </c>
      <c r="BQ68" s="313"/>
      <c r="BR68" s="314"/>
      <c r="BS68" s="315"/>
      <c r="BT68" s="216"/>
      <c r="BU68" s="223"/>
      <c r="BV68" s="313" t="s">
        <v>148</v>
      </c>
      <c r="BW68" s="313"/>
      <c r="BX68" s="314"/>
      <c r="BY68" s="315"/>
      <c r="BZ68" s="216"/>
      <c r="CA68" s="223"/>
      <c r="CB68" s="313" t="s">
        <v>148</v>
      </c>
      <c r="CC68" s="313"/>
      <c r="CD68" s="314"/>
      <c r="CE68" s="315"/>
      <c r="CF68" s="216"/>
      <c r="CG68" s="223"/>
      <c r="CH68" s="313" t="s">
        <v>148</v>
      </c>
      <c r="CI68" s="313"/>
      <c r="CJ68" s="314"/>
      <c r="CK68" s="315"/>
      <c r="CL68" s="216"/>
      <c r="CM68" s="223"/>
      <c r="CN68" s="313" t="s">
        <v>148</v>
      </c>
      <c r="CO68" s="313"/>
      <c r="CP68" s="314"/>
      <c r="CQ68" s="315"/>
      <c r="CR68" s="216"/>
      <c r="CS68" s="223"/>
      <c r="CT68" s="313" t="s">
        <v>148</v>
      </c>
      <c r="CU68" s="313"/>
      <c r="CV68" s="314"/>
      <c r="CW68" s="315"/>
      <c r="CX68" s="216"/>
      <c r="CY68" s="223"/>
      <c r="CZ68" s="313" t="s">
        <v>148</v>
      </c>
      <c r="DA68" s="313"/>
      <c r="DB68" s="314"/>
      <c r="DC68" s="315"/>
    </row>
    <row r="69" spans="1:107" ht="19.5" customHeight="1">
      <c r="N69" s="3"/>
      <c r="AL69" s="15"/>
      <c r="AM69" s="15"/>
      <c r="AN69" s="15"/>
      <c r="AO69" s="15"/>
      <c r="AP69" s="15"/>
      <c r="AQ69" s="15"/>
      <c r="AR69" s="15"/>
      <c r="AS69" s="15"/>
      <c r="AT69" s="15"/>
      <c r="AU69" s="15"/>
      <c r="AV69" s="15"/>
      <c r="AW69" s="15"/>
      <c r="AX69" s="15"/>
      <c r="AY69" s="15"/>
      <c r="AZ69" s="15"/>
      <c r="BA69" s="15"/>
      <c r="BB69" s="15"/>
      <c r="BC69" s="224"/>
      <c r="BD69" s="225" t="s">
        <v>37</v>
      </c>
      <c r="BE69" s="225" t="s">
        <v>132</v>
      </c>
      <c r="BF69" s="225" t="s">
        <v>43</v>
      </c>
      <c r="BG69" s="226" t="s">
        <v>46</v>
      </c>
      <c r="BH69" s="216"/>
      <c r="BI69" s="224"/>
      <c r="BJ69" s="225" t="s">
        <v>37</v>
      </c>
      <c r="BK69" s="225" t="s">
        <v>132</v>
      </c>
      <c r="BL69" s="225" t="s">
        <v>43</v>
      </c>
      <c r="BM69" s="226" t="s">
        <v>46</v>
      </c>
      <c r="BN69" s="216"/>
      <c r="BO69" s="224"/>
      <c r="BP69" s="225" t="s">
        <v>37</v>
      </c>
      <c r="BQ69" s="225" t="s">
        <v>132</v>
      </c>
      <c r="BR69" s="225" t="s">
        <v>43</v>
      </c>
      <c r="BS69" s="226" t="s">
        <v>46</v>
      </c>
      <c r="BT69" s="216"/>
      <c r="BU69" s="224"/>
      <c r="BV69" s="225" t="s">
        <v>37</v>
      </c>
      <c r="BW69" s="225" t="s">
        <v>132</v>
      </c>
      <c r="BX69" s="225" t="s">
        <v>43</v>
      </c>
      <c r="BY69" s="226" t="s">
        <v>46</v>
      </c>
      <c r="BZ69" s="216"/>
      <c r="CA69" s="224"/>
      <c r="CB69" s="225" t="s">
        <v>37</v>
      </c>
      <c r="CC69" s="225" t="s">
        <v>132</v>
      </c>
      <c r="CD69" s="225" t="s">
        <v>43</v>
      </c>
      <c r="CE69" s="226" t="s">
        <v>46</v>
      </c>
      <c r="CF69" s="216"/>
      <c r="CG69" s="224"/>
      <c r="CH69" s="225" t="s">
        <v>37</v>
      </c>
      <c r="CI69" s="225" t="s">
        <v>132</v>
      </c>
      <c r="CJ69" s="225" t="s">
        <v>43</v>
      </c>
      <c r="CK69" s="226" t="s">
        <v>46</v>
      </c>
      <c r="CL69" s="216"/>
      <c r="CM69" s="224"/>
      <c r="CN69" s="225" t="s">
        <v>37</v>
      </c>
      <c r="CO69" s="225" t="s">
        <v>132</v>
      </c>
      <c r="CP69" s="225" t="s">
        <v>43</v>
      </c>
      <c r="CQ69" s="226" t="s">
        <v>46</v>
      </c>
      <c r="CR69" s="216"/>
      <c r="CS69" s="224"/>
      <c r="CT69" s="225" t="s">
        <v>37</v>
      </c>
      <c r="CU69" s="225" t="s">
        <v>132</v>
      </c>
      <c r="CV69" s="225" t="s">
        <v>43</v>
      </c>
      <c r="CW69" s="226" t="s">
        <v>46</v>
      </c>
      <c r="CX69" s="216"/>
      <c r="CY69" s="224"/>
      <c r="CZ69" s="225" t="s">
        <v>37</v>
      </c>
      <c r="DA69" s="225" t="s">
        <v>132</v>
      </c>
      <c r="DB69" s="225" t="s">
        <v>43</v>
      </c>
      <c r="DC69" s="226" t="s">
        <v>46</v>
      </c>
    </row>
    <row r="70" spans="1:107" ht="19.5" customHeight="1">
      <c r="AJ70" s="15"/>
      <c r="AK70" s="15"/>
      <c r="AL70" s="15"/>
      <c r="AM70" s="15"/>
      <c r="AN70" s="15"/>
      <c r="AO70" s="15"/>
      <c r="AP70" s="15"/>
      <c r="AQ70" s="15"/>
      <c r="AR70" s="15"/>
      <c r="AS70" s="15"/>
      <c r="AT70" s="15"/>
      <c r="AU70" s="15"/>
      <c r="AV70" s="15"/>
      <c r="AW70" s="15"/>
      <c r="AX70" s="15"/>
      <c r="AY70" s="15"/>
      <c r="AZ70" s="15"/>
      <c r="BA70" s="15"/>
      <c r="BB70" s="13"/>
      <c r="BC70" s="227">
        <v>1.1499999999999999</v>
      </c>
      <c r="BD70" s="228">
        <f t="shared" ref="BD70:BG73" si="196">SUMIFS($BE$14:$BE$54,$O$14:$O$54,BD$69,$N$14:$N$54,$BC70)</f>
        <v>0</v>
      </c>
      <c r="BE70" s="228">
        <f t="shared" si="196"/>
        <v>0</v>
      </c>
      <c r="BF70" s="228">
        <f t="shared" si="196"/>
        <v>0</v>
      </c>
      <c r="BG70" s="229">
        <f t="shared" si="196"/>
        <v>0</v>
      </c>
      <c r="BH70" s="216"/>
      <c r="BI70" s="227">
        <v>1.1499999999999999</v>
      </c>
      <c r="BJ70" s="228">
        <f t="shared" ref="BJ70:BM73" si="197">SUMIFS($BK$14:$BK$54,$O$14:$O$54,BJ$69,$N$14:$N$54,$BC70)</f>
        <v>0</v>
      </c>
      <c r="BK70" s="228">
        <f t="shared" si="197"/>
        <v>0</v>
      </c>
      <c r="BL70" s="228">
        <f t="shared" si="197"/>
        <v>0</v>
      </c>
      <c r="BM70" s="229">
        <f t="shared" si="197"/>
        <v>0</v>
      </c>
      <c r="BN70" s="216"/>
      <c r="BO70" s="227">
        <v>1.1499999999999999</v>
      </c>
      <c r="BP70" s="228">
        <f t="shared" ref="BP70:BS73" si="198">SUMIFS($BQ$14:$BQ$54,$O$14:$O$54,BP$69,$N$14:$N$54,$BC70)</f>
        <v>0</v>
      </c>
      <c r="BQ70" s="228">
        <f t="shared" si="198"/>
        <v>0</v>
      </c>
      <c r="BR70" s="228">
        <f t="shared" si="198"/>
        <v>0</v>
      </c>
      <c r="BS70" s="229">
        <f t="shared" si="198"/>
        <v>0</v>
      </c>
      <c r="BT70" s="216"/>
      <c r="BU70" s="227">
        <v>1.1499999999999999</v>
      </c>
      <c r="BV70" s="228">
        <f t="shared" ref="BV70:BY73" si="199">SUMIFS($BW$14:$BW$54,$O$14:$O$54,BV$69,$N$14:$N$54,$BC70)</f>
        <v>0</v>
      </c>
      <c r="BW70" s="228">
        <f t="shared" si="199"/>
        <v>0</v>
      </c>
      <c r="BX70" s="228">
        <f t="shared" si="199"/>
        <v>0</v>
      </c>
      <c r="BY70" s="229">
        <f t="shared" si="199"/>
        <v>0</v>
      </c>
      <c r="BZ70" s="216"/>
      <c r="CA70" s="227">
        <v>1.1499999999999999</v>
      </c>
      <c r="CB70" s="228">
        <f t="shared" ref="CB70:CE73" si="200">SUMIFS($CC$14:$CC$54,$O$14:$O$54,CB$69,$N$14:$N$54,$BC70)</f>
        <v>0</v>
      </c>
      <c r="CC70" s="228">
        <f t="shared" si="200"/>
        <v>0</v>
      </c>
      <c r="CD70" s="228">
        <f t="shared" si="200"/>
        <v>0</v>
      </c>
      <c r="CE70" s="229">
        <f t="shared" si="200"/>
        <v>0</v>
      </c>
      <c r="CF70" s="216"/>
      <c r="CG70" s="227">
        <v>1.1499999999999999</v>
      </c>
      <c r="CH70" s="228">
        <f t="shared" ref="CH70:CK73" si="201">SUMIFS($CI$14:$CI$54,$O$14:$O$54,CH$69,$N$14:$N$54,$BC70)</f>
        <v>0</v>
      </c>
      <c r="CI70" s="228">
        <f t="shared" si="201"/>
        <v>0</v>
      </c>
      <c r="CJ70" s="228">
        <f t="shared" si="201"/>
        <v>0</v>
      </c>
      <c r="CK70" s="229">
        <f t="shared" si="201"/>
        <v>0</v>
      </c>
      <c r="CL70" s="216"/>
      <c r="CM70" s="227">
        <v>1.1499999999999999</v>
      </c>
      <c r="CN70" s="228">
        <f t="shared" ref="CN70:CQ73" si="202">SUMIFS($CO$14:$CO$54,$O$14:$O$54,CN$69,$N$14:$N$54,$BC70)</f>
        <v>0</v>
      </c>
      <c r="CO70" s="228">
        <f t="shared" si="202"/>
        <v>0</v>
      </c>
      <c r="CP70" s="228">
        <f t="shared" si="202"/>
        <v>0</v>
      </c>
      <c r="CQ70" s="229">
        <f t="shared" si="202"/>
        <v>0</v>
      </c>
      <c r="CR70" s="216"/>
      <c r="CS70" s="227">
        <v>1.1499999999999999</v>
      </c>
      <c r="CT70" s="228">
        <f t="shared" ref="CT70:CW73" si="203">SUMIFS($CU$14:$CU$54,$O$14:$O$54,CT$69,$N$14:$N$54,$BC70)</f>
        <v>0</v>
      </c>
      <c r="CU70" s="228">
        <f t="shared" si="203"/>
        <v>0</v>
      </c>
      <c r="CV70" s="228">
        <f t="shared" si="203"/>
        <v>0</v>
      </c>
      <c r="CW70" s="229">
        <f t="shared" si="203"/>
        <v>0</v>
      </c>
      <c r="CX70" s="216"/>
      <c r="CY70" s="227">
        <v>1.1499999999999999</v>
      </c>
      <c r="CZ70" s="228">
        <f t="shared" ref="CZ70:DC73" si="204">SUMIFS($DA$14:$DA$54,$O$14:$O$54,CZ$69,$N$14:$N$54,$BC70)</f>
        <v>0</v>
      </c>
      <c r="DA70" s="228">
        <f t="shared" si="204"/>
        <v>0</v>
      </c>
      <c r="DB70" s="228">
        <f t="shared" si="204"/>
        <v>0</v>
      </c>
      <c r="DC70" s="229">
        <f t="shared" si="204"/>
        <v>0</v>
      </c>
    </row>
    <row r="71" spans="1:107" ht="19.5" customHeight="1">
      <c r="AJ71" s="15"/>
      <c r="AK71" s="15"/>
      <c r="AL71" s="15"/>
      <c r="AM71" s="15"/>
      <c r="AN71" s="15"/>
      <c r="AO71" s="15"/>
      <c r="AP71" s="15"/>
      <c r="AQ71" s="15"/>
      <c r="AR71" s="15"/>
      <c r="AS71" s="15"/>
      <c r="AT71" s="15"/>
      <c r="AU71" s="15"/>
      <c r="AV71" s="15"/>
      <c r="AW71" s="15"/>
      <c r="AX71" s="15"/>
      <c r="AY71" s="15"/>
      <c r="AZ71" s="15"/>
      <c r="BA71" s="15"/>
      <c r="BB71" s="13"/>
      <c r="BC71" s="227" t="s">
        <v>137</v>
      </c>
      <c r="BD71" s="228">
        <f t="shared" si="196"/>
        <v>0</v>
      </c>
      <c r="BE71" s="228">
        <f t="shared" si="196"/>
        <v>0</v>
      </c>
      <c r="BF71" s="228">
        <f t="shared" si="196"/>
        <v>0</v>
      </c>
      <c r="BG71" s="229">
        <f t="shared" si="196"/>
        <v>0</v>
      </c>
      <c r="BH71" s="218"/>
      <c r="BI71" s="227" t="s">
        <v>137</v>
      </c>
      <c r="BJ71" s="228">
        <f t="shared" si="197"/>
        <v>0</v>
      </c>
      <c r="BK71" s="228">
        <f t="shared" si="197"/>
        <v>0</v>
      </c>
      <c r="BL71" s="228">
        <f t="shared" si="197"/>
        <v>0</v>
      </c>
      <c r="BM71" s="229">
        <f t="shared" si="197"/>
        <v>0</v>
      </c>
      <c r="BN71" s="218"/>
      <c r="BO71" s="227" t="s">
        <v>137</v>
      </c>
      <c r="BP71" s="228">
        <f t="shared" si="198"/>
        <v>0</v>
      </c>
      <c r="BQ71" s="228">
        <f t="shared" si="198"/>
        <v>0</v>
      </c>
      <c r="BR71" s="228">
        <f t="shared" si="198"/>
        <v>0</v>
      </c>
      <c r="BS71" s="229">
        <f t="shared" si="198"/>
        <v>0</v>
      </c>
      <c r="BT71" s="218"/>
      <c r="BU71" s="227" t="s">
        <v>137</v>
      </c>
      <c r="BV71" s="228">
        <f t="shared" si="199"/>
        <v>0</v>
      </c>
      <c r="BW71" s="228">
        <f t="shared" si="199"/>
        <v>0</v>
      </c>
      <c r="BX71" s="228">
        <f t="shared" si="199"/>
        <v>0</v>
      </c>
      <c r="BY71" s="229">
        <f t="shared" si="199"/>
        <v>0</v>
      </c>
      <c r="BZ71" s="218"/>
      <c r="CA71" s="227" t="s">
        <v>137</v>
      </c>
      <c r="CB71" s="228">
        <f t="shared" si="200"/>
        <v>0</v>
      </c>
      <c r="CC71" s="228">
        <f t="shared" si="200"/>
        <v>0</v>
      </c>
      <c r="CD71" s="228">
        <f t="shared" si="200"/>
        <v>0</v>
      </c>
      <c r="CE71" s="229">
        <f t="shared" si="200"/>
        <v>0</v>
      </c>
      <c r="CF71" s="218"/>
      <c r="CG71" s="227" t="s">
        <v>137</v>
      </c>
      <c r="CH71" s="228">
        <f t="shared" si="201"/>
        <v>0</v>
      </c>
      <c r="CI71" s="228">
        <f t="shared" si="201"/>
        <v>0</v>
      </c>
      <c r="CJ71" s="228">
        <f t="shared" si="201"/>
        <v>0</v>
      </c>
      <c r="CK71" s="229">
        <f t="shared" si="201"/>
        <v>0</v>
      </c>
      <c r="CL71" s="218"/>
      <c r="CM71" s="227" t="s">
        <v>137</v>
      </c>
      <c r="CN71" s="228">
        <f t="shared" si="202"/>
        <v>0</v>
      </c>
      <c r="CO71" s="228">
        <f t="shared" si="202"/>
        <v>0</v>
      </c>
      <c r="CP71" s="228">
        <f t="shared" si="202"/>
        <v>0</v>
      </c>
      <c r="CQ71" s="229">
        <f t="shared" si="202"/>
        <v>0</v>
      </c>
      <c r="CR71" s="218"/>
      <c r="CS71" s="227" t="s">
        <v>137</v>
      </c>
      <c r="CT71" s="228">
        <f t="shared" si="203"/>
        <v>0</v>
      </c>
      <c r="CU71" s="228">
        <f t="shared" si="203"/>
        <v>0</v>
      </c>
      <c r="CV71" s="228">
        <f t="shared" si="203"/>
        <v>0</v>
      </c>
      <c r="CW71" s="229">
        <f t="shared" si="203"/>
        <v>0</v>
      </c>
      <c r="CX71" s="218"/>
      <c r="CY71" s="227" t="s">
        <v>137</v>
      </c>
      <c r="CZ71" s="228">
        <f t="shared" si="204"/>
        <v>0</v>
      </c>
      <c r="DA71" s="228">
        <f t="shared" si="204"/>
        <v>0</v>
      </c>
      <c r="DB71" s="228">
        <f t="shared" si="204"/>
        <v>0</v>
      </c>
      <c r="DC71" s="229">
        <f t="shared" si="204"/>
        <v>0</v>
      </c>
    </row>
    <row r="72" spans="1:107" ht="19.5" customHeight="1">
      <c r="AL72" s="15"/>
      <c r="AM72" s="15"/>
      <c r="AN72" s="15"/>
      <c r="AO72" s="15"/>
      <c r="AP72" s="15"/>
      <c r="AQ72" s="15"/>
      <c r="AR72" s="15"/>
      <c r="AS72" s="15"/>
      <c r="AT72" s="15"/>
      <c r="AU72" s="15"/>
      <c r="AV72" s="15"/>
      <c r="AW72" s="15"/>
      <c r="AX72" s="15"/>
      <c r="AY72" s="15"/>
      <c r="AZ72" s="15"/>
      <c r="BA72" s="15"/>
      <c r="BB72" s="15"/>
      <c r="BC72" s="227" t="s">
        <v>138</v>
      </c>
      <c r="BD72" s="228">
        <f t="shared" si="196"/>
        <v>14000</v>
      </c>
      <c r="BE72" s="228">
        <f t="shared" si="196"/>
        <v>0</v>
      </c>
      <c r="BF72" s="228">
        <f t="shared" si="196"/>
        <v>0</v>
      </c>
      <c r="BG72" s="229">
        <f t="shared" si="196"/>
        <v>0</v>
      </c>
      <c r="BH72" s="212"/>
      <c r="BI72" s="227" t="s">
        <v>138</v>
      </c>
      <c r="BJ72" s="228">
        <f t="shared" si="197"/>
        <v>0</v>
      </c>
      <c r="BK72" s="228">
        <f t="shared" si="197"/>
        <v>0</v>
      </c>
      <c r="BL72" s="228">
        <f t="shared" si="197"/>
        <v>0</v>
      </c>
      <c r="BM72" s="229">
        <f t="shared" si="197"/>
        <v>0</v>
      </c>
      <c r="BN72" s="212"/>
      <c r="BO72" s="227" t="s">
        <v>138</v>
      </c>
      <c r="BP72" s="228">
        <f t="shared" si="198"/>
        <v>0</v>
      </c>
      <c r="BQ72" s="228">
        <f t="shared" si="198"/>
        <v>0</v>
      </c>
      <c r="BR72" s="228">
        <f t="shared" si="198"/>
        <v>0</v>
      </c>
      <c r="BS72" s="229">
        <f t="shared" si="198"/>
        <v>0</v>
      </c>
      <c r="BT72" s="212"/>
      <c r="BU72" s="227" t="s">
        <v>138</v>
      </c>
      <c r="BV72" s="228">
        <f t="shared" si="199"/>
        <v>0</v>
      </c>
      <c r="BW72" s="228">
        <f t="shared" si="199"/>
        <v>0</v>
      </c>
      <c r="BX72" s="228">
        <f t="shared" si="199"/>
        <v>0</v>
      </c>
      <c r="BY72" s="229">
        <f t="shared" si="199"/>
        <v>0</v>
      </c>
      <c r="BZ72" s="212"/>
      <c r="CA72" s="227" t="s">
        <v>138</v>
      </c>
      <c r="CB72" s="228">
        <f t="shared" si="200"/>
        <v>0</v>
      </c>
      <c r="CC72" s="228">
        <f t="shared" si="200"/>
        <v>0</v>
      </c>
      <c r="CD72" s="228">
        <f t="shared" si="200"/>
        <v>0</v>
      </c>
      <c r="CE72" s="229">
        <f t="shared" si="200"/>
        <v>0</v>
      </c>
      <c r="CF72" s="212"/>
      <c r="CG72" s="227" t="s">
        <v>138</v>
      </c>
      <c r="CH72" s="228">
        <f t="shared" si="201"/>
        <v>0</v>
      </c>
      <c r="CI72" s="228">
        <f t="shared" si="201"/>
        <v>0</v>
      </c>
      <c r="CJ72" s="228">
        <f t="shared" si="201"/>
        <v>0</v>
      </c>
      <c r="CK72" s="229">
        <f t="shared" si="201"/>
        <v>0</v>
      </c>
      <c r="CL72" s="212"/>
      <c r="CM72" s="227" t="s">
        <v>138</v>
      </c>
      <c r="CN72" s="228">
        <f t="shared" si="202"/>
        <v>0</v>
      </c>
      <c r="CO72" s="228">
        <f t="shared" si="202"/>
        <v>0</v>
      </c>
      <c r="CP72" s="228">
        <f t="shared" si="202"/>
        <v>0</v>
      </c>
      <c r="CQ72" s="229">
        <f t="shared" si="202"/>
        <v>0</v>
      </c>
      <c r="CR72" s="212"/>
      <c r="CS72" s="227" t="s">
        <v>138</v>
      </c>
      <c r="CT72" s="228">
        <f t="shared" si="203"/>
        <v>0</v>
      </c>
      <c r="CU72" s="228">
        <f t="shared" si="203"/>
        <v>0</v>
      </c>
      <c r="CV72" s="228">
        <f t="shared" si="203"/>
        <v>0</v>
      </c>
      <c r="CW72" s="229">
        <f t="shared" si="203"/>
        <v>0</v>
      </c>
      <c r="CX72" s="212"/>
      <c r="CY72" s="227" t="s">
        <v>138</v>
      </c>
      <c r="CZ72" s="228">
        <f t="shared" si="204"/>
        <v>0</v>
      </c>
      <c r="DA72" s="228">
        <f t="shared" si="204"/>
        <v>0</v>
      </c>
      <c r="DB72" s="228">
        <f t="shared" si="204"/>
        <v>0</v>
      </c>
      <c r="DC72" s="229">
        <f t="shared" si="204"/>
        <v>0</v>
      </c>
    </row>
    <row r="73" spans="1:107" ht="19.5" customHeight="1">
      <c r="AL73" s="14"/>
      <c r="AM73" s="14"/>
      <c r="AN73" s="14"/>
      <c r="AO73" s="14"/>
      <c r="AP73" s="14"/>
      <c r="AQ73" s="14"/>
      <c r="AR73" s="14"/>
      <c r="AS73" s="14"/>
      <c r="AT73" s="14"/>
      <c r="AU73" s="14"/>
      <c r="AV73" s="14"/>
      <c r="AW73" s="14"/>
      <c r="AX73" s="14"/>
      <c r="AY73" s="14"/>
      <c r="AZ73" s="14"/>
      <c r="BA73" s="14"/>
      <c r="BB73" s="14"/>
      <c r="BC73" s="227" t="s">
        <v>141</v>
      </c>
      <c r="BD73" s="228">
        <f t="shared" si="196"/>
        <v>0</v>
      </c>
      <c r="BE73" s="228">
        <f t="shared" si="196"/>
        <v>0</v>
      </c>
      <c r="BF73" s="228">
        <f t="shared" si="196"/>
        <v>0</v>
      </c>
      <c r="BG73" s="229">
        <f t="shared" si="196"/>
        <v>0</v>
      </c>
      <c r="BH73" s="212"/>
      <c r="BI73" s="227" t="s">
        <v>141</v>
      </c>
      <c r="BJ73" s="228">
        <f t="shared" si="197"/>
        <v>0</v>
      </c>
      <c r="BK73" s="228">
        <f t="shared" si="197"/>
        <v>0</v>
      </c>
      <c r="BL73" s="228">
        <f t="shared" si="197"/>
        <v>0</v>
      </c>
      <c r="BM73" s="229">
        <f t="shared" si="197"/>
        <v>0</v>
      </c>
      <c r="BN73" s="212"/>
      <c r="BO73" s="227" t="s">
        <v>141</v>
      </c>
      <c r="BP73" s="228">
        <f t="shared" si="198"/>
        <v>0</v>
      </c>
      <c r="BQ73" s="228">
        <f t="shared" si="198"/>
        <v>0</v>
      </c>
      <c r="BR73" s="228">
        <f t="shared" si="198"/>
        <v>0</v>
      </c>
      <c r="BS73" s="229">
        <f t="shared" si="198"/>
        <v>0</v>
      </c>
      <c r="BT73" s="212"/>
      <c r="BU73" s="227" t="s">
        <v>141</v>
      </c>
      <c r="BV73" s="228">
        <f t="shared" si="199"/>
        <v>0</v>
      </c>
      <c r="BW73" s="228">
        <f t="shared" si="199"/>
        <v>0</v>
      </c>
      <c r="BX73" s="228">
        <f t="shared" si="199"/>
        <v>0</v>
      </c>
      <c r="BY73" s="229">
        <f t="shared" si="199"/>
        <v>0</v>
      </c>
      <c r="BZ73" s="212"/>
      <c r="CA73" s="227" t="s">
        <v>141</v>
      </c>
      <c r="CB73" s="228">
        <f t="shared" si="200"/>
        <v>0</v>
      </c>
      <c r="CC73" s="228">
        <f t="shared" si="200"/>
        <v>0</v>
      </c>
      <c r="CD73" s="228">
        <f t="shared" si="200"/>
        <v>0</v>
      </c>
      <c r="CE73" s="229">
        <f t="shared" si="200"/>
        <v>0</v>
      </c>
      <c r="CF73" s="212"/>
      <c r="CG73" s="227" t="s">
        <v>141</v>
      </c>
      <c r="CH73" s="228">
        <f t="shared" si="201"/>
        <v>0</v>
      </c>
      <c r="CI73" s="228">
        <f t="shared" si="201"/>
        <v>0</v>
      </c>
      <c r="CJ73" s="228">
        <f t="shared" si="201"/>
        <v>0</v>
      </c>
      <c r="CK73" s="229">
        <f t="shared" si="201"/>
        <v>0</v>
      </c>
      <c r="CL73" s="212"/>
      <c r="CM73" s="227" t="s">
        <v>141</v>
      </c>
      <c r="CN73" s="228">
        <f t="shared" si="202"/>
        <v>0</v>
      </c>
      <c r="CO73" s="228">
        <f t="shared" si="202"/>
        <v>0</v>
      </c>
      <c r="CP73" s="228">
        <f t="shared" si="202"/>
        <v>0</v>
      </c>
      <c r="CQ73" s="229">
        <f t="shared" si="202"/>
        <v>0</v>
      </c>
      <c r="CR73" s="212"/>
      <c r="CS73" s="227" t="s">
        <v>141</v>
      </c>
      <c r="CT73" s="228">
        <f t="shared" si="203"/>
        <v>0</v>
      </c>
      <c r="CU73" s="228">
        <f t="shared" si="203"/>
        <v>0</v>
      </c>
      <c r="CV73" s="228">
        <f t="shared" si="203"/>
        <v>0</v>
      </c>
      <c r="CW73" s="229">
        <f t="shared" si="203"/>
        <v>0</v>
      </c>
      <c r="CX73" s="212"/>
      <c r="CY73" s="227" t="s">
        <v>141</v>
      </c>
      <c r="CZ73" s="228">
        <f t="shared" si="204"/>
        <v>0</v>
      </c>
      <c r="DA73" s="228">
        <f t="shared" si="204"/>
        <v>0</v>
      </c>
      <c r="DB73" s="228">
        <f t="shared" si="204"/>
        <v>0</v>
      </c>
      <c r="DC73" s="229">
        <f t="shared" si="204"/>
        <v>0</v>
      </c>
    </row>
    <row r="74" spans="1:107" ht="19.5" customHeight="1">
      <c r="AL74" s="14"/>
      <c r="AM74" s="14"/>
      <c r="AN74" s="14"/>
      <c r="AO74" s="14"/>
      <c r="AP74" s="14"/>
      <c r="AQ74" s="14"/>
      <c r="AR74" s="14"/>
      <c r="AS74" s="14"/>
      <c r="AT74" s="14"/>
      <c r="AU74" s="14"/>
      <c r="AV74" s="14"/>
      <c r="AW74" s="14"/>
      <c r="AX74" s="14"/>
      <c r="AY74" s="14"/>
      <c r="AZ74" s="14"/>
      <c r="BA74" s="14"/>
      <c r="BB74" s="14"/>
      <c r="BC74" s="224" t="s">
        <v>146</v>
      </c>
      <c r="BD74" s="230">
        <f>SUM(BD70:BD73)</f>
        <v>14000</v>
      </c>
      <c r="BE74" s="230">
        <f>SUM(BE70:BE73)</f>
        <v>0</v>
      </c>
      <c r="BF74" s="230">
        <f>SUM(BF70:BF73)</f>
        <v>0</v>
      </c>
      <c r="BG74" s="231">
        <f>SUM(BG70:BG73)</f>
        <v>0</v>
      </c>
      <c r="BH74" s="218"/>
      <c r="BI74" s="224" t="s">
        <v>146</v>
      </c>
      <c r="BJ74" s="230">
        <f>SUM(BJ70:BJ73)</f>
        <v>0</v>
      </c>
      <c r="BK74" s="230">
        <f>SUM(BK70:BK73)</f>
        <v>0</v>
      </c>
      <c r="BL74" s="230">
        <f>SUM(BL70:BL73)</f>
        <v>0</v>
      </c>
      <c r="BM74" s="231">
        <f>SUM(BM70:BM73)</f>
        <v>0</v>
      </c>
      <c r="BN74" s="218"/>
      <c r="BO74" s="224" t="s">
        <v>146</v>
      </c>
      <c r="BP74" s="230">
        <f>SUM(BP70:BP73)</f>
        <v>0</v>
      </c>
      <c r="BQ74" s="230">
        <f>SUM(BQ70:BQ73)</f>
        <v>0</v>
      </c>
      <c r="BR74" s="230">
        <f>SUM(BR70:BR73)</f>
        <v>0</v>
      </c>
      <c r="BS74" s="231">
        <f>SUM(BS70:BS73)</f>
        <v>0</v>
      </c>
      <c r="BT74" s="218"/>
      <c r="BU74" s="224" t="s">
        <v>146</v>
      </c>
      <c r="BV74" s="230">
        <f>SUM(BV70:BV73)</f>
        <v>0</v>
      </c>
      <c r="BW74" s="230">
        <f>SUM(BW70:BW73)</f>
        <v>0</v>
      </c>
      <c r="BX74" s="230">
        <f>SUM(BX70:BX73)</f>
        <v>0</v>
      </c>
      <c r="BY74" s="231">
        <f>SUM(BY70:BY73)</f>
        <v>0</v>
      </c>
      <c r="BZ74" s="218"/>
      <c r="CA74" s="224" t="s">
        <v>146</v>
      </c>
      <c r="CB74" s="230">
        <f>SUM(CB70:CB73)</f>
        <v>0</v>
      </c>
      <c r="CC74" s="230">
        <f>SUM(CC70:CC73)</f>
        <v>0</v>
      </c>
      <c r="CD74" s="230">
        <f>SUM(CD70:CD73)</f>
        <v>0</v>
      </c>
      <c r="CE74" s="231">
        <f>SUM(CE70:CE73)</f>
        <v>0</v>
      </c>
      <c r="CF74" s="218"/>
      <c r="CG74" s="224" t="s">
        <v>146</v>
      </c>
      <c r="CH74" s="230">
        <f>SUM(CH70:CH73)</f>
        <v>0</v>
      </c>
      <c r="CI74" s="230">
        <f>SUM(CI70:CI73)</f>
        <v>0</v>
      </c>
      <c r="CJ74" s="230">
        <f>SUM(CJ70:CJ73)</f>
        <v>0</v>
      </c>
      <c r="CK74" s="231">
        <f>SUM(CK70:CK73)</f>
        <v>0</v>
      </c>
      <c r="CL74" s="218"/>
      <c r="CM74" s="224" t="s">
        <v>146</v>
      </c>
      <c r="CN74" s="230">
        <f>SUM(CN70:CN73)</f>
        <v>0</v>
      </c>
      <c r="CO74" s="230">
        <f>SUM(CO70:CO73)</f>
        <v>0</v>
      </c>
      <c r="CP74" s="230">
        <f>SUM(CP70:CP73)</f>
        <v>0</v>
      </c>
      <c r="CQ74" s="231">
        <f>SUM(CQ70:CQ73)</f>
        <v>0</v>
      </c>
      <c r="CR74" s="218"/>
      <c r="CS74" s="224" t="s">
        <v>146</v>
      </c>
      <c r="CT74" s="230">
        <f>SUM(CT70:CT73)</f>
        <v>0</v>
      </c>
      <c r="CU74" s="230">
        <f>SUM(CU70:CU73)</f>
        <v>0</v>
      </c>
      <c r="CV74" s="230">
        <f>SUM(CV70:CV73)</f>
        <v>0</v>
      </c>
      <c r="CW74" s="231">
        <f>SUM(CW70:CW73)</f>
        <v>0</v>
      </c>
      <c r="CX74" s="218"/>
      <c r="CY74" s="224" t="s">
        <v>146</v>
      </c>
      <c r="CZ74" s="230">
        <f>SUM(CZ70:CZ73)</f>
        <v>0</v>
      </c>
      <c r="DA74" s="230">
        <f>SUM(DA70:DA73)</f>
        <v>0</v>
      </c>
      <c r="DB74" s="230">
        <f>SUM(DB70:DB73)</f>
        <v>0</v>
      </c>
      <c r="DC74" s="231">
        <f>SUM(DC70:DC73)</f>
        <v>0</v>
      </c>
    </row>
    <row r="75" spans="1:107" ht="19.5" customHeight="1">
      <c r="AL75" s="14"/>
      <c r="AM75" s="14"/>
      <c r="AN75" s="14"/>
      <c r="AO75" s="14"/>
      <c r="AP75" s="14"/>
      <c r="AQ75" s="14"/>
      <c r="AR75" s="14"/>
      <c r="AS75" s="14"/>
      <c r="AT75" s="14"/>
      <c r="AU75" s="14"/>
      <c r="AV75" s="14"/>
      <c r="AW75" s="14"/>
      <c r="AX75" s="14"/>
      <c r="AY75" s="14"/>
      <c r="AZ75" s="14"/>
      <c r="BA75" s="14"/>
      <c r="BB75" s="14"/>
      <c r="BC75" s="232" t="s">
        <v>149</v>
      </c>
      <c r="BD75" s="233">
        <f>BD74+BE74+BF74+BG74</f>
        <v>14000</v>
      </c>
      <c r="BE75" s="234"/>
      <c r="BF75" s="234"/>
      <c r="BG75" s="235"/>
      <c r="BH75" s="216"/>
      <c r="BI75" s="232" t="s">
        <v>149</v>
      </c>
      <c r="BJ75" s="233">
        <f>BJ74+BK74+BL74+BM74</f>
        <v>0</v>
      </c>
      <c r="BK75" s="234"/>
      <c r="BL75" s="234"/>
      <c r="BM75" s="235"/>
      <c r="BN75" s="216"/>
      <c r="BO75" s="232" t="s">
        <v>149</v>
      </c>
      <c r="BP75" s="233">
        <f>BP74+BQ74+BR74+BS74</f>
        <v>0</v>
      </c>
      <c r="BQ75" s="234"/>
      <c r="BR75" s="234"/>
      <c r="BS75" s="235"/>
      <c r="BT75" s="216"/>
      <c r="BU75" s="232" t="s">
        <v>149</v>
      </c>
      <c r="BV75" s="233">
        <f>BV74+BW74+BX74+BY74</f>
        <v>0</v>
      </c>
      <c r="BW75" s="234"/>
      <c r="BX75" s="234"/>
      <c r="BY75" s="235"/>
      <c r="BZ75" s="216"/>
      <c r="CA75" s="232" t="s">
        <v>149</v>
      </c>
      <c r="CB75" s="233">
        <f>CB74+CC74+CD74+CE74</f>
        <v>0</v>
      </c>
      <c r="CC75" s="234"/>
      <c r="CD75" s="234"/>
      <c r="CE75" s="235"/>
      <c r="CF75" s="216"/>
      <c r="CG75" s="232" t="s">
        <v>149</v>
      </c>
      <c r="CH75" s="233">
        <f>CH74+CI74+CJ74+CK74</f>
        <v>0</v>
      </c>
      <c r="CI75" s="234"/>
      <c r="CJ75" s="234"/>
      <c r="CK75" s="235"/>
      <c r="CL75" s="216"/>
      <c r="CM75" s="232" t="s">
        <v>149</v>
      </c>
      <c r="CN75" s="233">
        <f>CN74+CO74+CP74+CQ74</f>
        <v>0</v>
      </c>
      <c r="CO75" s="234"/>
      <c r="CP75" s="234"/>
      <c r="CQ75" s="235"/>
      <c r="CR75" s="216"/>
      <c r="CS75" s="232" t="s">
        <v>149</v>
      </c>
      <c r="CT75" s="233">
        <f>CT74+CU74+CV74+CW74</f>
        <v>0</v>
      </c>
      <c r="CU75" s="234"/>
      <c r="CV75" s="234"/>
      <c r="CW75" s="235"/>
      <c r="CX75" s="216"/>
      <c r="CY75" s="232" t="s">
        <v>149</v>
      </c>
      <c r="CZ75" s="233">
        <f>CZ74+DA74+DB74+DC74</f>
        <v>0</v>
      </c>
      <c r="DA75" s="234"/>
      <c r="DB75" s="234"/>
      <c r="DC75" s="235"/>
    </row>
    <row r="76" spans="1:107" ht="19.5" customHeight="1">
      <c r="AL76" s="14"/>
      <c r="AM76" s="14"/>
      <c r="AN76" s="14"/>
      <c r="AO76" s="14"/>
      <c r="AP76" s="14"/>
      <c r="AQ76" s="14"/>
      <c r="AR76" s="14"/>
      <c r="AS76" s="14"/>
      <c r="AT76" s="14"/>
      <c r="AU76" s="14"/>
      <c r="AV76" s="14"/>
      <c r="AW76" s="14"/>
      <c r="AX76" s="14"/>
      <c r="AY76" s="14"/>
      <c r="AZ76" s="14"/>
      <c r="BA76" s="14"/>
      <c r="BB76" s="14"/>
      <c r="BC76" s="216"/>
      <c r="BD76" s="236"/>
      <c r="BE76" s="236"/>
      <c r="BF76" s="236"/>
      <c r="BG76" s="236"/>
      <c r="BH76" s="216"/>
      <c r="BI76" s="216"/>
      <c r="BJ76" s="236"/>
      <c r="BK76" s="236"/>
      <c r="BL76" s="236"/>
      <c r="BM76" s="236"/>
      <c r="BN76" s="216"/>
      <c r="BO76" s="216"/>
      <c r="BP76" s="236"/>
      <c r="BQ76" s="236"/>
      <c r="BR76" s="236"/>
      <c r="BS76" s="236"/>
      <c r="BT76" s="216"/>
      <c r="BU76" s="216"/>
      <c r="BV76" s="236"/>
      <c r="BW76" s="236"/>
      <c r="BX76" s="236"/>
      <c r="BY76" s="236"/>
      <c r="BZ76" s="212"/>
      <c r="CA76" s="216"/>
      <c r="CB76" s="236"/>
      <c r="CC76" s="236"/>
      <c r="CD76" s="236"/>
      <c r="CE76" s="236"/>
      <c r="CF76" s="212"/>
      <c r="CG76" s="216"/>
      <c r="CH76" s="236"/>
      <c r="CI76" s="236"/>
      <c r="CJ76" s="236"/>
      <c r="CK76" s="236"/>
      <c r="CL76" s="212"/>
      <c r="CM76" s="216"/>
      <c r="CN76" s="236"/>
      <c r="CO76" s="236"/>
      <c r="CP76" s="236"/>
      <c r="CQ76" s="236"/>
      <c r="CR76" s="212"/>
      <c r="CS76" s="216"/>
      <c r="CT76" s="236"/>
      <c r="CU76" s="236"/>
      <c r="CV76" s="236"/>
      <c r="CW76" s="236"/>
      <c r="CX76" s="212"/>
      <c r="CY76" s="216"/>
      <c r="CZ76" s="236"/>
      <c r="DA76" s="236"/>
      <c r="DB76" s="236"/>
      <c r="DC76" s="236"/>
    </row>
    <row r="77" spans="1:107" ht="19.5" customHeight="1">
      <c r="AL77" s="15"/>
      <c r="AM77" s="15"/>
      <c r="AN77" s="15"/>
      <c r="AO77" s="15"/>
      <c r="AP77" s="15"/>
      <c r="AQ77" s="15"/>
      <c r="AR77" s="15"/>
      <c r="AS77" s="15"/>
      <c r="AT77" s="15"/>
      <c r="AU77" s="15"/>
      <c r="AV77" s="15"/>
      <c r="AW77" s="15"/>
      <c r="AX77" s="15"/>
      <c r="AY77" s="15"/>
      <c r="AZ77" s="15"/>
      <c r="BA77" s="15"/>
      <c r="BB77" s="15"/>
      <c r="BC77" s="237"/>
      <c r="BD77" s="295" t="s">
        <v>150</v>
      </c>
      <c r="BE77" s="295"/>
      <c r="BF77" s="296"/>
      <c r="BG77" s="297"/>
      <c r="BH77" s="238"/>
      <c r="BI77" s="237"/>
      <c r="BJ77" s="295" t="s">
        <v>150</v>
      </c>
      <c r="BK77" s="295"/>
      <c r="BL77" s="296"/>
      <c r="BM77" s="297"/>
      <c r="BN77" s="238"/>
      <c r="BO77" s="237"/>
      <c r="BP77" s="295" t="s">
        <v>150</v>
      </c>
      <c r="BQ77" s="295"/>
      <c r="BR77" s="296"/>
      <c r="BS77" s="297"/>
      <c r="BT77" s="238"/>
      <c r="BU77" s="237"/>
      <c r="BV77" s="295" t="s">
        <v>150</v>
      </c>
      <c r="BW77" s="295"/>
      <c r="BX77" s="296"/>
      <c r="BY77" s="297"/>
      <c r="BZ77" s="238"/>
      <c r="CA77" s="237"/>
      <c r="CB77" s="295" t="s">
        <v>150</v>
      </c>
      <c r="CC77" s="295"/>
      <c r="CD77" s="296"/>
      <c r="CE77" s="297"/>
      <c r="CF77" s="238"/>
      <c r="CG77" s="237"/>
      <c r="CH77" s="295" t="s">
        <v>150</v>
      </c>
      <c r="CI77" s="295"/>
      <c r="CJ77" s="296"/>
      <c r="CK77" s="297"/>
      <c r="CL77" s="238"/>
      <c r="CM77" s="237"/>
      <c r="CN77" s="295" t="s">
        <v>150</v>
      </c>
      <c r="CO77" s="295"/>
      <c r="CP77" s="296"/>
      <c r="CQ77" s="297"/>
      <c r="CR77" s="238"/>
      <c r="CS77" s="237"/>
      <c r="CT77" s="295" t="s">
        <v>150</v>
      </c>
      <c r="CU77" s="295"/>
      <c r="CV77" s="296"/>
      <c r="CW77" s="297"/>
      <c r="CX77" s="238"/>
      <c r="CY77" s="237"/>
      <c r="CZ77" s="295" t="s">
        <v>150</v>
      </c>
      <c r="DA77" s="295"/>
      <c r="DB77" s="296"/>
      <c r="DC77" s="297"/>
    </row>
    <row r="78" spans="1:107" ht="19.5" customHeight="1">
      <c r="AL78" s="15"/>
      <c r="AM78" s="15"/>
      <c r="AN78" s="15"/>
      <c r="AO78" s="15"/>
      <c r="AP78" s="15"/>
      <c r="AQ78" s="15"/>
      <c r="AR78" s="15"/>
      <c r="AS78" s="15"/>
      <c r="AT78" s="15"/>
      <c r="AU78" s="15"/>
      <c r="AV78" s="15"/>
      <c r="AW78" s="15"/>
      <c r="AX78" s="15"/>
      <c r="AY78" s="15"/>
      <c r="AZ78" s="15"/>
      <c r="BA78" s="15"/>
      <c r="BB78" s="15"/>
      <c r="BC78" s="239"/>
      <c r="BD78" s="240" t="s">
        <v>39</v>
      </c>
      <c r="BE78" s="240" t="s">
        <v>132</v>
      </c>
      <c r="BF78" s="240" t="s">
        <v>43</v>
      </c>
      <c r="BG78" s="241" t="s">
        <v>46</v>
      </c>
      <c r="BH78" s="238"/>
      <c r="BI78" s="239"/>
      <c r="BJ78" s="240" t="s">
        <v>39</v>
      </c>
      <c r="BK78" s="240" t="s">
        <v>132</v>
      </c>
      <c r="BL78" s="240" t="s">
        <v>43</v>
      </c>
      <c r="BM78" s="241" t="s">
        <v>46</v>
      </c>
      <c r="BN78" s="238"/>
      <c r="BO78" s="239"/>
      <c r="BP78" s="240" t="s">
        <v>39</v>
      </c>
      <c r="BQ78" s="240" t="s">
        <v>132</v>
      </c>
      <c r="BR78" s="240" t="s">
        <v>43</v>
      </c>
      <c r="BS78" s="241" t="s">
        <v>46</v>
      </c>
      <c r="BT78" s="238"/>
      <c r="BU78" s="239"/>
      <c r="BV78" s="240" t="s">
        <v>39</v>
      </c>
      <c r="BW78" s="240" t="s">
        <v>132</v>
      </c>
      <c r="BX78" s="240" t="s">
        <v>43</v>
      </c>
      <c r="BY78" s="241" t="s">
        <v>46</v>
      </c>
      <c r="BZ78" s="238"/>
      <c r="CA78" s="239"/>
      <c r="CB78" s="240" t="s">
        <v>39</v>
      </c>
      <c r="CC78" s="240" t="s">
        <v>132</v>
      </c>
      <c r="CD78" s="240" t="s">
        <v>43</v>
      </c>
      <c r="CE78" s="241" t="s">
        <v>46</v>
      </c>
      <c r="CF78" s="238"/>
      <c r="CG78" s="239"/>
      <c r="CH78" s="240" t="s">
        <v>39</v>
      </c>
      <c r="CI78" s="240" t="s">
        <v>132</v>
      </c>
      <c r="CJ78" s="240" t="s">
        <v>43</v>
      </c>
      <c r="CK78" s="241" t="s">
        <v>46</v>
      </c>
      <c r="CL78" s="238"/>
      <c r="CM78" s="239"/>
      <c r="CN78" s="240" t="s">
        <v>39</v>
      </c>
      <c r="CO78" s="240" t="s">
        <v>132</v>
      </c>
      <c r="CP78" s="240" t="s">
        <v>43</v>
      </c>
      <c r="CQ78" s="241" t="s">
        <v>46</v>
      </c>
      <c r="CR78" s="238"/>
      <c r="CS78" s="239"/>
      <c r="CT78" s="240" t="s">
        <v>39</v>
      </c>
      <c r="CU78" s="240" t="s">
        <v>132</v>
      </c>
      <c r="CV78" s="240" t="s">
        <v>43</v>
      </c>
      <c r="CW78" s="241" t="s">
        <v>46</v>
      </c>
      <c r="CX78" s="238"/>
      <c r="CY78" s="239"/>
      <c r="CZ78" s="240" t="s">
        <v>39</v>
      </c>
      <c r="DA78" s="240" t="s">
        <v>132</v>
      </c>
      <c r="DB78" s="240" t="s">
        <v>43</v>
      </c>
      <c r="DC78" s="241" t="s">
        <v>46</v>
      </c>
    </row>
    <row r="79" spans="1:107" ht="19.5" customHeight="1">
      <c r="AL79" s="14"/>
      <c r="AM79" s="14"/>
      <c r="AN79" s="14"/>
      <c r="AO79" s="14"/>
      <c r="AP79" s="14"/>
      <c r="AQ79" s="14"/>
      <c r="AR79" s="14"/>
      <c r="AS79" s="14"/>
      <c r="AT79" s="14"/>
      <c r="AU79" s="14"/>
      <c r="AV79" s="14"/>
      <c r="AW79" s="14"/>
      <c r="AX79" s="14"/>
      <c r="AY79" s="14"/>
      <c r="AZ79" s="14"/>
      <c r="BA79" s="14"/>
      <c r="BB79" s="14"/>
      <c r="BC79" s="227">
        <v>1.1499999999999999</v>
      </c>
      <c r="BD79" s="242">
        <f t="shared" ref="BD79:BG82" si="205">SUMIFS($BC$14:$BC$54,$O$14:$O$54,BD$78,$N$14:$N$54,$BC79)</f>
        <v>0</v>
      </c>
      <c r="BE79" s="242">
        <f t="shared" si="205"/>
        <v>0</v>
      </c>
      <c r="BF79" s="242">
        <f t="shared" si="205"/>
        <v>0</v>
      </c>
      <c r="BG79" s="243">
        <f t="shared" si="205"/>
        <v>0</v>
      </c>
      <c r="BH79" s="238"/>
      <c r="BI79" s="227">
        <v>1.1499999999999999</v>
      </c>
      <c r="BJ79" s="242">
        <f t="shared" ref="BJ79:BM82" si="206">SUMIFS($BI$14:$BI$54,$O$14:$O$54,BJ$78,$N$14:$N$54,$BC79)</f>
        <v>0</v>
      </c>
      <c r="BK79" s="242">
        <f t="shared" si="206"/>
        <v>0</v>
      </c>
      <c r="BL79" s="242">
        <f t="shared" si="206"/>
        <v>0</v>
      </c>
      <c r="BM79" s="243">
        <f t="shared" si="206"/>
        <v>0</v>
      </c>
      <c r="BN79" s="238"/>
      <c r="BO79" s="227">
        <v>1.1499999999999999</v>
      </c>
      <c r="BP79" s="242">
        <f t="shared" ref="BP79:BS82" si="207">SUMIFS($BO$14:$BO$54,$O$14:$O$54,BP$78,$N$14:$N$54,$BC79)</f>
        <v>0</v>
      </c>
      <c r="BQ79" s="242">
        <f t="shared" si="207"/>
        <v>0</v>
      </c>
      <c r="BR79" s="242">
        <f t="shared" si="207"/>
        <v>0</v>
      </c>
      <c r="BS79" s="243">
        <f t="shared" si="207"/>
        <v>0</v>
      </c>
      <c r="BT79" s="238"/>
      <c r="BU79" s="227">
        <v>1.1499999999999999</v>
      </c>
      <c r="BV79" s="242">
        <f t="shared" ref="BV79:BY82" si="208">SUMIFS($BU$14:$BU$54,$O$14:$O$54,BV$78,$N$14:$N$54,$BC79)</f>
        <v>0</v>
      </c>
      <c r="BW79" s="242">
        <f t="shared" si="208"/>
        <v>0</v>
      </c>
      <c r="BX79" s="242">
        <f t="shared" si="208"/>
        <v>0</v>
      </c>
      <c r="BY79" s="243">
        <f t="shared" si="208"/>
        <v>0</v>
      </c>
      <c r="BZ79" s="238"/>
      <c r="CA79" s="227">
        <v>1.1499999999999999</v>
      </c>
      <c r="CB79" s="242">
        <f t="shared" ref="CB79:CE82" si="209">SUMIFS($CA$14:$CA$54,$O$14:$O$54,CB$78,$N$14:$N$54,$BC79)</f>
        <v>0</v>
      </c>
      <c r="CC79" s="242">
        <f t="shared" si="209"/>
        <v>0</v>
      </c>
      <c r="CD79" s="242">
        <f t="shared" si="209"/>
        <v>0</v>
      </c>
      <c r="CE79" s="243">
        <f t="shared" si="209"/>
        <v>0</v>
      </c>
      <c r="CF79" s="238"/>
      <c r="CG79" s="227">
        <v>1.1499999999999999</v>
      </c>
      <c r="CH79" s="242">
        <f t="shared" ref="CH79:CK82" si="210">SUMIFS($CG$14:$CG$54,$O$14:$O$54,CH$78,$N$14:$N$54,$BC79)</f>
        <v>0</v>
      </c>
      <c r="CI79" s="242">
        <f t="shared" si="210"/>
        <v>0</v>
      </c>
      <c r="CJ79" s="242">
        <f t="shared" si="210"/>
        <v>0</v>
      </c>
      <c r="CK79" s="243">
        <f t="shared" si="210"/>
        <v>0</v>
      </c>
      <c r="CL79" s="238"/>
      <c r="CM79" s="227">
        <v>1.1499999999999999</v>
      </c>
      <c r="CN79" s="242">
        <f t="shared" ref="CN79:CQ82" si="211">SUMIFS($CM$14:$CM$54,$O$14:$O$54,CN$78,$N$14:$N$54,$BC79)</f>
        <v>0</v>
      </c>
      <c r="CO79" s="242">
        <f t="shared" si="211"/>
        <v>0</v>
      </c>
      <c r="CP79" s="242">
        <f t="shared" si="211"/>
        <v>0</v>
      </c>
      <c r="CQ79" s="243">
        <f t="shared" si="211"/>
        <v>0</v>
      </c>
      <c r="CR79" s="238"/>
      <c r="CS79" s="227">
        <v>1.1499999999999999</v>
      </c>
      <c r="CT79" s="242">
        <f t="shared" ref="CT79:CW82" si="212">SUMIFS($CS$14:$CS$54,$O$14:$O$54,CT$78,$N$14:$N$54,$BC79)</f>
        <v>0</v>
      </c>
      <c r="CU79" s="242">
        <f t="shared" si="212"/>
        <v>0</v>
      </c>
      <c r="CV79" s="242">
        <f t="shared" si="212"/>
        <v>0</v>
      </c>
      <c r="CW79" s="243">
        <f t="shared" si="212"/>
        <v>0</v>
      </c>
      <c r="CX79" s="238"/>
      <c r="CY79" s="227">
        <v>1.1499999999999999</v>
      </c>
      <c r="CZ79" s="242">
        <f t="shared" ref="CZ79:DC82" si="213">SUMIFS($CY$14:$CY$54,$O$14:$O$54,CZ$78,$N$14:$N$54,$BC79)</f>
        <v>0</v>
      </c>
      <c r="DA79" s="242">
        <f t="shared" si="213"/>
        <v>0</v>
      </c>
      <c r="DB79" s="242">
        <f t="shared" si="213"/>
        <v>0</v>
      </c>
      <c r="DC79" s="243">
        <f t="shared" si="213"/>
        <v>0</v>
      </c>
    </row>
    <row r="80" spans="1:107" ht="19.5" customHeight="1">
      <c r="AL80" s="14"/>
      <c r="AM80" s="14"/>
      <c r="AN80" s="14"/>
      <c r="AO80" s="14"/>
      <c r="AP80" s="14"/>
      <c r="AQ80" s="14"/>
      <c r="AR80" s="14"/>
      <c r="AS80" s="14"/>
      <c r="AT80" s="14"/>
      <c r="AU80" s="14"/>
      <c r="AV80" s="14"/>
      <c r="AW80" s="14"/>
      <c r="AX80" s="14"/>
      <c r="AY80" s="14"/>
      <c r="AZ80" s="14"/>
      <c r="BA80" s="14"/>
      <c r="BB80" s="14"/>
      <c r="BC80" s="244" t="s">
        <v>137</v>
      </c>
      <c r="BD80" s="242">
        <f t="shared" si="205"/>
        <v>0</v>
      </c>
      <c r="BE80" s="242">
        <f t="shared" si="205"/>
        <v>0</v>
      </c>
      <c r="BF80" s="242">
        <f t="shared" si="205"/>
        <v>0</v>
      </c>
      <c r="BG80" s="243">
        <f t="shared" si="205"/>
        <v>0</v>
      </c>
      <c r="BH80" s="238"/>
      <c r="BI80" s="244" t="s">
        <v>137</v>
      </c>
      <c r="BJ80" s="242">
        <f t="shared" si="206"/>
        <v>0</v>
      </c>
      <c r="BK80" s="242">
        <f t="shared" si="206"/>
        <v>0</v>
      </c>
      <c r="BL80" s="242">
        <f t="shared" si="206"/>
        <v>0</v>
      </c>
      <c r="BM80" s="243">
        <f t="shared" si="206"/>
        <v>0</v>
      </c>
      <c r="BN80" s="238"/>
      <c r="BO80" s="244" t="s">
        <v>137</v>
      </c>
      <c r="BP80" s="242">
        <f t="shared" si="207"/>
        <v>0</v>
      </c>
      <c r="BQ80" s="242">
        <f t="shared" si="207"/>
        <v>0</v>
      </c>
      <c r="BR80" s="242">
        <f t="shared" si="207"/>
        <v>0</v>
      </c>
      <c r="BS80" s="243">
        <f t="shared" si="207"/>
        <v>0</v>
      </c>
      <c r="BT80" s="238"/>
      <c r="BU80" s="244" t="s">
        <v>137</v>
      </c>
      <c r="BV80" s="242">
        <f t="shared" si="208"/>
        <v>0</v>
      </c>
      <c r="BW80" s="242">
        <f t="shared" si="208"/>
        <v>0</v>
      </c>
      <c r="BX80" s="242">
        <f t="shared" si="208"/>
        <v>0</v>
      </c>
      <c r="BY80" s="243">
        <f t="shared" si="208"/>
        <v>0</v>
      </c>
      <c r="BZ80" s="238"/>
      <c r="CA80" s="244" t="s">
        <v>137</v>
      </c>
      <c r="CB80" s="242">
        <f t="shared" si="209"/>
        <v>0</v>
      </c>
      <c r="CC80" s="242">
        <f t="shared" si="209"/>
        <v>0</v>
      </c>
      <c r="CD80" s="242">
        <f t="shared" si="209"/>
        <v>0</v>
      </c>
      <c r="CE80" s="243">
        <f t="shared" si="209"/>
        <v>0</v>
      </c>
      <c r="CF80" s="238"/>
      <c r="CG80" s="244" t="s">
        <v>137</v>
      </c>
      <c r="CH80" s="242">
        <f t="shared" si="210"/>
        <v>0</v>
      </c>
      <c r="CI80" s="242">
        <f t="shared" si="210"/>
        <v>0</v>
      </c>
      <c r="CJ80" s="242">
        <f t="shared" si="210"/>
        <v>0</v>
      </c>
      <c r="CK80" s="243">
        <f t="shared" si="210"/>
        <v>0</v>
      </c>
      <c r="CL80" s="238"/>
      <c r="CM80" s="244" t="s">
        <v>137</v>
      </c>
      <c r="CN80" s="242">
        <f t="shared" si="211"/>
        <v>0</v>
      </c>
      <c r="CO80" s="242">
        <f t="shared" si="211"/>
        <v>0</v>
      </c>
      <c r="CP80" s="242">
        <f t="shared" si="211"/>
        <v>0</v>
      </c>
      <c r="CQ80" s="243">
        <f t="shared" si="211"/>
        <v>0</v>
      </c>
      <c r="CR80" s="238"/>
      <c r="CS80" s="244" t="s">
        <v>137</v>
      </c>
      <c r="CT80" s="242">
        <f t="shared" si="212"/>
        <v>0</v>
      </c>
      <c r="CU80" s="242">
        <f t="shared" si="212"/>
        <v>0</v>
      </c>
      <c r="CV80" s="242">
        <f t="shared" si="212"/>
        <v>0</v>
      </c>
      <c r="CW80" s="243">
        <f t="shared" si="212"/>
        <v>0</v>
      </c>
      <c r="CX80" s="238"/>
      <c r="CY80" s="244" t="s">
        <v>137</v>
      </c>
      <c r="CZ80" s="242">
        <f t="shared" si="213"/>
        <v>0</v>
      </c>
      <c r="DA80" s="242">
        <f t="shared" si="213"/>
        <v>0</v>
      </c>
      <c r="DB80" s="242">
        <f t="shared" si="213"/>
        <v>0</v>
      </c>
      <c r="DC80" s="243">
        <f t="shared" si="213"/>
        <v>0</v>
      </c>
    </row>
    <row r="81" spans="35:107" ht="19.5" customHeight="1">
      <c r="AL81" s="14"/>
      <c r="AM81" s="14"/>
      <c r="AN81" s="14"/>
      <c r="AO81" s="14"/>
      <c r="AP81" s="14"/>
      <c r="AQ81" s="14"/>
      <c r="AR81" s="14"/>
      <c r="AS81" s="14"/>
      <c r="AT81" s="14"/>
      <c r="AU81" s="14"/>
      <c r="AV81" s="14"/>
      <c r="AW81" s="14"/>
      <c r="AX81" s="14"/>
      <c r="AY81" s="14"/>
      <c r="AZ81" s="14"/>
      <c r="BA81" s="14"/>
      <c r="BB81" s="14"/>
      <c r="BC81" s="244" t="s">
        <v>138</v>
      </c>
      <c r="BD81" s="242">
        <f t="shared" si="205"/>
        <v>1000</v>
      </c>
      <c r="BE81" s="242">
        <f t="shared" si="205"/>
        <v>0</v>
      </c>
      <c r="BF81" s="242">
        <f t="shared" si="205"/>
        <v>0</v>
      </c>
      <c r="BG81" s="243">
        <f t="shared" si="205"/>
        <v>0</v>
      </c>
      <c r="BH81" s="238"/>
      <c r="BI81" s="244" t="s">
        <v>138</v>
      </c>
      <c r="BJ81" s="242">
        <f t="shared" si="206"/>
        <v>0</v>
      </c>
      <c r="BK81" s="242">
        <f t="shared" si="206"/>
        <v>0</v>
      </c>
      <c r="BL81" s="242">
        <f t="shared" si="206"/>
        <v>0</v>
      </c>
      <c r="BM81" s="243">
        <f t="shared" si="206"/>
        <v>0</v>
      </c>
      <c r="BN81" s="238"/>
      <c r="BO81" s="244" t="s">
        <v>138</v>
      </c>
      <c r="BP81" s="242">
        <f t="shared" si="207"/>
        <v>0</v>
      </c>
      <c r="BQ81" s="242">
        <f t="shared" si="207"/>
        <v>0</v>
      </c>
      <c r="BR81" s="242">
        <f t="shared" si="207"/>
        <v>0</v>
      </c>
      <c r="BS81" s="243">
        <f t="shared" si="207"/>
        <v>0</v>
      </c>
      <c r="BT81" s="238"/>
      <c r="BU81" s="244" t="s">
        <v>138</v>
      </c>
      <c r="BV81" s="242">
        <f t="shared" si="208"/>
        <v>0</v>
      </c>
      <c r="BW81" s="242">
        <f t="shared" si="208"/>
        <v>0</v>
      </c>
      <c r="BX81" s="242">
        <f t="shared" si="208"/>
        <v>0</v>
      </c>
      <c r="BY81" s="243">
        <f t="shared" si="208"/>
        <v>0</v>
      </c>
      <c r="BZ81" s="238"/>
      <c r="CA81" s="244" t="s">
        <v>138</v>
      </c>
      <c r="CB81" s="242">
        <f t="shared" si="209"/>
        <v>0</v>
      </c>
      <c r="CC81" s="242">
        <f t="shared" si="209"/>
        <v>0</v>
      </c>
      <c r="CD81" s="242">
        <f t="shared" si="209"/>
        <v>0</v>
      </c>
      <c r="CE81" s="243">
        <f t="shared" si="209"/>
        <v>0</v>
      </c>
      <c r="CF81" s="238"/>
      <c r="CG81" s="244" t="s">
        <v>138</v>
      </c>
      <c r="CH81" s="242">
        <f t="shared" si="210"/>
        <v>0</v>
      </c>
      <c r="CI81" s="242">
        <f t="shared" si="210"/>
        <v>0</v>
      </c>
      <c r="CJ81" s="242">
        <f t="shared" si="210"/>
        <v>0</v>
      </c>
      <c r="CK81" s="243">
        <f t="shared" si="210"/>
        <v>0</v>
      </c>
      <c r="CL81" s="238"/>
      <c r="CM81" s="244" t="s">
        <v>138</v>
      </c>
      <c r="CN81" s="242">
        <f t="shared" si="211"/>
        <v>0</v>
      </c>
      <c r="CO81" s="242">
        <f t="shared" si="211"/>
        <v>0</v>
      </c>
      <c r="CP81" s="242">
        <f t="shared" si="211"/>
        <v>0</v>
      </c>
      <c r="CQ81" s="243">
        <f t="shared" si="211"/>
        <v>0</v>
      </c>
      <c r="CR81" s="238"/>
      <c r="CS81" s="244" t="s">
        <v>138</v>
      </c>
      <c r="CT81" s="242">
        <f t="shared" si="212"/>
        <v>0</v>
      </c>
      <c r="CU81" s="242">
        <f t="shared" si="212"/>
        <v>0</v>
      </c>
      <c r="CV81" s="242">
        <f t="shared" si="212"/>
        <v>0</v>
      </c>
      <c r="CW81" s="243">
        <f t="shared" si="212"/>
        <v>0</v>
      </c>
      <c r="CX81" s="238"/>
      <c r="CY81" s="244" t="s">
        <v>138</v>
      </c>
      <c r="CZ81" s="242">
        <f t="shared" si="213"/>
        <v>0</v>
      </c>
      <c r="DA81" s="242">
        <f t="shared" si="213"/>
        <v>0</v>
      </c>
      <c r="DB81" s="242">
        <f t="shared" si="213"/>
        <v>0</v>
      </c>
      <c r="DC81" s="243">
        <f t="shared" si="213"/>
        <v>0</v>
      </c>
    </row>
    <row r="82" spans="35:107" ht="19.5" customHeight="1">
      <c r="AL82" s="14"/>
      <c r="AM82" s="14"/>
      <c r="AN82" s="14"/>
      <c r="AO82" s="14"/>
      <c r="AP82" s="14"/>
      <c r="AQ82" s="14"/>
      <c r="AR82" s="14"/>
      <c r="AS82" s="14"/>
      <c r="AT82" s="14"/>
      <c r="AU82" s="14"/>
      <c r="AV82" s="14"/>
      <c r="AW82" s="14"/>
      <c r="AX82" s="14"/>
      <c r="AY82" s="14"/>
      <c r="AZ82" s="14"/>
      <c r="BA82" s="14"/>
      <c r="BB82" s="14"/>
      <c r="BC82" s="244" t="s">
        <v>141</v>
      </c>
      <c r="BD82" s="242">
        <f t="shared" si="205"/>
        <v>0</v>
      </c>
      <c r="BE82" s="242">
        <f t="shared" si="205"/>
        <v>0</v>
      </c>
      <c r="BF82" s="242">
        <f t="shared" si="205"/>
        <v>0</v>
      </c>
      <c r="BG82" s="243">
        <f t="shared" si="205"/>
        <v>0</v>
      </c>
      <c r="BH82" s="238"/>
      <c r="BI82" s="244" t="s">
        <v>141</v>
      </c>
      <c r="BJ82" s="242">
        <f t="shared" si="206"/>
        <v>0</v>
      </c>
      <c r="BK82" s="242">
        <f t="shared" si="206"/>
        <v>0</v>
      </c>
      <c r="BL82" s="242">
        <f t="shared" si="206"/>
        <v>0</v>
      </c>
      <c r="BM82" s="243">
        <f t="shared" si="206"/>
        <v>0</v>
      </c>
      <c r="BN82" s="238"/>
      <c r="BO82" s="244" t="s">
        <v>141</v>
      </c>
      <c r="BP82" s="242">
        <f t="shared" si="207"/>
        <v>0</v>
      </c>
      <c r="BQ82" s="242">
        <f t="shared" si="207"/>
        <v>0</v>
      </c>
      <c r="BR82" s="242">
        <f t="shared" si="207"/>
        <v>0</v>
      </c>
      <c r="BS82" s="243">
        <f t="shared" si="207"/>
        <v>0</v>
      </c>
      <c r="BT82" s="238"/>
      <c r="BU82" s="244" t="s">
        <v>141</v>
      </c>
      <c r="BV82" s="242">
        <f t="shared" si="208"/>
        <v>0</v>
      </c>
      <c r="BW82" s="242">
        <f t="shared" si="208"/>
        <v>0</v>
      </c>
      <c r="BX82" s="242">
        <f t="shared" si="208"/>
        <v>0</v>
      </c>
      <c r="BY82" s="243">
        <f t="shared" si="208"/>
        <v>0</v>
      </c>
      <c r="BZ82" s="238"/>
      <c r="CA82" s="244" t="s">
        <v>141</v>
      </c>
      <c r="CB82" s="242">
        <f t="shared" si="209"/>
        <v>0</v>
      </c>
      <c r="CC82" s="242">
        <f t="shared" si="209"/>
        <v>0</v>
      </c>
      <c r="CD82" s="242">
        <f t="shared" si="209"/>
        <v>0</v>
      </c>
      <c r="CE82" s="243">
        <f t="shared" si="209"/>
        <v>0</v>
      </c>
      <c r="CF82" s="238"/>
      <c r="CG82" s="244" t="s">
        <v>141</v>
      </c>
      <c r="CH82" s="242">
        <f t="shared" si="210"/>
        <v>0</v>
      </c>
      <c r="CI82" s="242">
        <f t="shared" si="210"/>
        <v>0</v>
      </c>
      <c r="CJ82" s="242">
        <f t="shared" si="210"/>
        <v>0</v>
      </c>
      <c r="CK82" s="243">
        <f t="shared" si="210"/>
        <v>0</v>
      </c>
      <c r="CL82" s="238"/>
      <c r="CM82" s="244" t="s">
        <v>141</v>
      </c>
      <c r="CN82" s="242">
        <f t="shared" si="211"/>
        <v>0</v>
      </c>
      <c r="CO82" s="242">
        <f t="shared" si="211"/>
        <v>0</v>
      </c>
      <c r="CP82" s="242">
        <f t="shared" si="211"/>
        <v>0</v>
      </c>
      <c r="CQ82" s="243">
        <f t="shared" si="211"/>
        <v>0</v>
      </c>
      <c r="CR82" s="238"/>
      <c r="CS82" s="244" t="s">
        <v>141</v>
      </c>
      <c r="CT82" s="242">
        <f t="shared" si="212"/>
        <v>0</v>
      </c>
      <c r="CU82" s="242">
        <f t="shared" si="212"/>
        <v>0</v>
      </c>
      <c r="CV82" s="242">
        <f t="shared" si="212"/>
        <v>0</v>
      </c>
      <c r="CW82" s="243">
        <f t="shared" si="212"/>
        <v>0</v>
      </c>
      <c r="CX82" s="238"/>
      <c r="CY82" s="244" t="s">
        <v>141</v>
      </c>
      <c r="CZ82" s="242">
        <f t="shared" si="213"/>
        <v>0</v>
      </c>
      <c r="DA82" s="242">
        <f t="shared" si="213"/>
        <v>0</v>
      </c>
      <c r="DB82" s="242">
        <f t="shared" si="213"/>
        <v>0</v>
      </c>
      <c r="DC82" s="243">
        <f t="shared" si="213"/>
        <v>0</v>
      </c>
    </row>
    <row r="83" spans="35:107" ht="19.5" customHeight="1">
      <c r="AL83" s="15"/>
      <c r="AM83" s="15"/>
      <c r="AN83" s="15"/>
      <c r="AO83" s="15"/>
      <c r="AP83" s="15"/>
      <c r="AQ83" s="15"/>
      <c r="AR83" s="15"/>
      <c r="AS83" s="15"/>
      <c r="AT83" s="15"/>
      <c r="AU83" s="15"/>
      <c r="AV83" s="15"/>
      <c r="AW83" s="15"/>
      <c r="AX83" s="15"/>
      <c r="AY83" s="15"/>
      <c r="AZ83" s="15"/>
      <c r="BA83" s="15"/>
      <c r="BB83" s="15"/>
      <c r="BC83" s="239" t="s">
        <v>146</v>
      </c>
      <c r="BD83" s="245">
        <f>SUM(BD79:BD82)</f>
        <v>1000</v>
      </c>
      <c r="BE83" s="245">
        <f>SUM(BE79:BE82)</f>
        <v>0</v>
      </c>
      <c r="BF83" s="245">
        <f>SUM(BF79:BF82)</f>
        <v>0</v>
      </c>
      <c r="BG83" s="246">
        <f>SUM(BG79:BG82)</f>
        <v>0</v>
      </c>
      <c r="BH83" s="238"/>
      <c r="BI83" s="239" t="s">
        <v>146</v>
      </c>
      <c r="BJ83" s="245">
        <f>SUM(BJ79:BJ82)</f>
        <v>0</v>
      </c>
      <c r="BK83" s="245">
        <f>SUM(BK79:BK82)</f>
        <v>0</v>
      </c>
      <c r="BL83" s="245">
        <f>SUM(BL79:BL82)</f>
        <v>0</v>
      </c>
      <c r="BM83" s="246">
        <f>SUM(BM79:BM82)</f>
        <v>0</v>
      </c>
      <c r="BN83" s="238"/>
      <c r="BO83" s="239" t="s">
        <v>146</v>
      </c>
      <c r="BP83" s="245">
        <f>SUM(BP79:BP82)</f>
        <v>0</v>
      </c>
      <c r="BQ83" s="245">
        <f>SUM(BQ79:BQ82)</f>
        <v>0</v>
      </c>
      <c r="BR83" s="245">
        <f>SUM(BR79:BR82)</f>
        <v>0</v>
      </c>
      <c r="BS83" s="246">
        <f>SUM(BS79:BS82)</f>
        <v>0</v>
      </c>
      <c r="BT83" s="238"/>
      <c r="BU83" s="239" t="s">
        <v>146</v>
      </c>
      <c r="BV83" s="245">
        <f>SUM(BV79:BV82)</f>
        <v>0</v>
      </c>
      <c r="BW83" s="245">
        <f>SUM(BW79:BW82)</f>
        <v>0</v>
      </c>
      <c r="BX83" s="245">
        <f>SUM(BX79:BX82)</f>
        <v>0</v>
      </c>
      <c r="BY83" s="246">
        <f>SUM(BY79:BY82)</f>
        <v>0</v>
      </c>
      <c r="BZ83" s="238"/>
      <c r="CA83" s="239" t="s">
        <v>146</v>
      </c>
      <c r="CB83" s="245">
        <f>SUM(CB79:CB82)</f>
        <v>0</v>
      </c>
      <c r="CC83" s="245">
        <f>SUM(CC79:CC82)</f>
        <v>0</v>
      </c>
      <c r="CD83" s="245">
        <f>SUM(CD79:CD82)</f>
        <v>0</v>
      </c>
      <c r="CE83" s="246">
        <f>SUM(CE79:CE82)</f>
        <v>0</v>
      </c>
      <c r="CF83" s="238"/>
      <c r="CG83" s="239" t="s">
        <v>146</v>
      </c>
      <c r="CH83" s="245">
        <f>SUM(CH79:CH82)</f>
        <v>0</v>
      </c>
      <c r="CI83" s="245">
        <f>SUM(CI79:CI82)</f>
        <v>0</v>
      </c>
      <c r="CJ83" s="245">
        <f>SUM(CJ79:CJ82)</f>
        <v>0</v>
      </c>
      <c r="CK83" s="246">
        <f>SUM(CK79:CK82)</f>
        <v>0</v>
      </c>
      <c r="CL83" s="238"/>
      <c r="CM83" s="239" t="s">
        <v>146</v>
      </c>
      <c r="CN83" s="245">
        <f>SUM(CN79:CN82)</f>
        <v>0</v>
      </c>
      <c r="CO83" s="245">
        <f>SUM(CO79:CO82)</f>
        <v>0</v>
      </c>
      <c r="CP83" s="245">
        <f>SUM(CP79:CP82)</f>
        <v>0</v>
      </c>
      <c r="CQ83" s="246">
        <f>SUM(CQ79:CQ82)</f>
        <v>0</v>
      </c>
      <c r="CR83" s="238"/>
      <c r="CS83" s="239" t="s">
        <v>146</v>
      </c>
      <c r="CT83" s="245">
        <f>SUM(CT79:CT82)</f>
        <v>0</v>
      </c>
      <c r="CU83" s="245">
        <f>SUM(CU79:CU82)</f>
        <v>0</v>
      </c>
      <c r="CV83" s="245">
        <f>SUM(CV79:CV82)</f>
        <v>0</v>
      </c>
      <c r="CW83" s="246">
        <f>SUM(CW79:CW82)</f>
        <v>0</v>
      </c>
      <c r="CX83" s="238"/>
      <c r="CY83" s="239" t="s">
        <v>146</v>
      </c>
      <c r="CZ83" s="245">
        <f>SUM(CZ79:CZ82)</f>
        <v>0</v>
      </c>
      <c r="DA83" s="245">
        <f>SUM(DA79:DA82)</f>
        <v>0</v>
      </c>
      <c r="DB83" s="245">
        <f>SUM(DB79:DB82)</f>
        <v>0</v>
      </c>
      <c r="DC83" s="246">
        <f>SUM(DC79:DC82)</f>
        <v>0</v>
      </c>
    </row>
    <row r="84" spans="35:107" ht="19.5" customHeight="1">
      <c r="AL84" s="15"/>
      <c r="AM84" s="15"/>
      <c r="AN84" s="15"/>
      <c r="AO84" s="15"/>
      <c r="AP84" s="15"/>
      <c r="AQ84" s="15"/>
      <c r="AR84" s="15"/>
      <c r="AS84" s="15"/>
      <c r="AT84" s="15"/>
      <c r="AU84" s="15"/>
      <c r="AV84" s="15"/>
      <c r="AW84" s="15"/>
      <c r="AX84" s="15"/>
      <c r="AY84" s="15"/>
      <c r="AZ84" s="15"/>
      <c r="BA84" s="15"/>
      <c r="BB84" s="15"/>
      <c r="BC84" s="247" t="s">
        <v>151</v>
      </c>
      <c r="BD84" s="248">
        <f>BD83+BE83+BF83+BG83</f>
        <v>1000</v>
      </c>
      <c r="BE84" s="249"/>
      <c r="BF84" s="249"/>
      <c r="BG84" s="250"/>
      <c r="BH84" s="238"/>
      <c r="BI84" s="247" t="s">
        <v>151</v>
      </c>
      <c r="BJ84" s="248">
        <f>BJ83+BK83+BL83+BM83</f>
        <v>0</v>
      </c>
      <c r="BK84" s="249"/>
      <c r="BL84" s="249"/>
      <c r="BM84" s="250"/>
      <c r="BN84" s="238"/>
      <c r="BO84" s="247" t="s">
        <v>151</v>
      </c>
      <c r="BP84" s="248">
        <f>BP83+BQ83+BR83+BS83</f>
        <v>0</v>
      </c>
      <c r="BQ84" s="249"/>
      <c r="BR84" s="249"/>
      <c r="BS84" s="250"/>
      <c r="BT84" s="238"/>
      <c r="BU84" s="247" t="s">
        <v>151</v>
      </c>
      <c r="BV84" s="248">
        <f>BV83+BW83+BX83+BY83</f>
        <v>0</v>
      </c>
      <c r="BW84" s="249"/>
      <c r="BX84" s="249"/>
      <c r="BY84" s="250"/>
      <c r="BZ84" s="238"/>
      <c r="CA84" s="247" t="s">
        <v>151</v>
      </c>
      <c r="CB84" s="248">
        <f>CB83+CC83+CD83+CE83</f>
        <v>0</v>
      </c>
      <c r="CC84" s="249"/>
      <c r="CD84" s="249"/>
      <c r="CE84" s="250"/>
      <c r="CF84" s="238"/>
      <c r="CG84" s="247" t="s">
        <v>151</v>
      </c>
      <c r="CH84" s="248">
        <f>CH83+CI83+CJ83+CK83</f>
        <v>0</v>
      </c>
      <c r="CI84" s="249"/>
      <c r="CJ84" s="249"/>
      <c r="CK84" s="250"/>
      <c r="CL84" s="238"/>
      <c r="CM84" s="247" t="s">
        <v>151</v>
      </c>
      <c r="CN84" s="248">
        <f>CN83+CO83+CP83+CQ83</f>
        <v>0</v>
      </c>
      <c r="CO84" s="249"/>
      <c r="CP84" s="249"/>
      <c r="CQ84" s="250"/>
      <c r="CR84" s="238"/>
      <c r="CS84" s="247" t="s">
        <v>151</v>
      </c>
      <c r="CT84" s="248">
        <f>CT83+CU83+CV83+CW83</f>
        <v>0</v>
      </c>
      <c r="CU84" s="249"/>
      <c r="CV84" s="249"/>
      <c r="CW84" s="250"/>
      <c r="CX84" s="238"/>
      <c r="CY84" s="247" t="s">
        <v>151</v>
      </c>
      <c r="CZ84" s="248">
        <f>CZ83+DA83+DB83+DC83</f>
        <v>0</v>
      </c>
      <c r="DA84" s="249"/>
      <c r="DB84" s="249"/>
      <c r="DC84" s="250"/>
    </row>
    <row r="85" spans="35:107" ht="19.5" customHeight="1">
      <c r="AI85" s="13"/>
      <c r="AJ85" s="13"/>
      <c r="AK85" s="13"/>
      <c r="AL85" s="13"/>
      <c r="AM85" s="13"/>
      <c r="AN85" s="13"/>
      <c r="AO85" s="13"/>
      <c r="AP85" s="13"/>
      <c r="AQ85" s="13"/>
      <c r="AR85" s="13"/>
      <c r="AS85" s="13"/>
      <c r="AT85" s="13"/>
      <c r="AU85" s="13"/>
      <c r="AV85" s="13"/>
      <c r="AW85" s="13"/>
      <c r="AX85" s="13"/>
      <c r="AY85" s="13"/>
      <c r="AZ85" s="13"/>
      <c r="BA85" s="13"/>
      <c r="BB85" s="13"/>
      <c r="BC85" s="238"/>
      <c r="BD85" s="238"/>
      <c r="BE85" s="238"/>
      <c r="BF85" s="238"/>
      <c r="BG85" s="238"/>
      <c r="BH85" s="238"/>
      <c r="BI85" s="238"/>
      <c r="BJ85" s="238"/>
      <c r="BK85" s="238"/>
      <c r="BL85" s="238"/>
      <c r="BM85" s="238"/>
      <c r="BN85" s="238"/>
      <c r="BO85" s="238"/>
      <c r="BP85" s="238"/>
      <c r="BQ85" s="238"/>
      <c r="BR85" s="238"/>
      <c r="BS85" s="238"/>
      <c r="BT85" s="238"/>
      <c r="BU85" s="238"/>
      <c r="BV85" s="238"/>
      <c r="BW85" s="238"/>
      <c r="BX85" s="238"/>
      <c r="BY85" s="238"/>
      <c r="BZ85" s="238"/>
      <c r="CA85" s="238"/>
      <c r="CB85" s="238"/>
      <c r="CC85" s="238"/>
      <c r="CD85" s="238"/>
      <c r="CE85" s="238"/>
      <c r="CF85" s="238"/>
      <c r="CG85" s="238"/>
      <c r="CH85" s="238"/>
      <c r="CI85" s="238"/>
      <c r="CJ85" s="238"/>
      <c r="CK85" s="238"/>
      <c r="CL85" s="238"/>
      <c r="CM85" s="238"/>
      <c r="CN85" s="238"/>
      <c r="CO85" s="238"/>
      <c r="CP85" s="238"/>
      <c r="CQ85" s="238"/>
      <c r="CR85" s="238"/>
      <c r="CS85" s="238"/>
      <c r="CT85" s="238"/>
      <c r="CU85" s="238"/>
      <c r="CV85" s="238"/>
      <c r="CW85" s="238"/>
      <c r="CX85" s="238"/>
      <c r="CY85" s="238"/>
      <c r="CZ85" s="238"/>
      <c r="DA85" s="238"/>
      <c r="DB85" s="238"/>
      <c r="DC85" s="238"/>
    </row>
    <row r="86" spans="35:107" ht="19.5" customHeight="1">
      <c r="AL86" s="13"/>
      <c r="AM86" s="13"/>
      <c r="AN86" s="13"/>
      <c r="AO86" s="13"/>
      <c r="AP86" s="13"/>
      <c r="AQ86" s="13"/>
      <c r="AR86" s="13"/>
      <c r="AS86" s="13"/>
      <c r="AT86" s="13"/>
      <c r="AU86" s="13"/>
      <c r="AV86" s="13"/>
      <c r="AW86" s="13"/>
      <c r="AX86" s="13"/>
      <c r="AY86" s="13"/>
      <c r="AZ86" s="13"/>
      <c r="BA86" s="13"/>
      <c r="BC86" s="237"/>
      <c r="BD86" s="295" t="s">
        <v>152</v>
      </c>
      <c r="BE86" s="295"/>
      <c r="BF86" s="296"/>
      <c r="BG86" s="297"/>
      <c r="BH86" s="238"/>
      <c r="BI86" s="237"/>
      <c r="BJ86" s="295" t="s">
        <v>152</v>
      </c>
      <c r="BK86" s="295"/>
      <c r="BL86" s="296"/>
      <c r="BM86" s="297"/>
      <c r="BN86" s="238"/>
      <c r="BO86" s="237"/>
      <c r="BP86" s="295" t="s">
        <v>152</v>
      </c>
      <c r="BQ86" s="295"/>
      <c r="BR86" s="296"/>
      <c r="BS86" s="297"/>
      <c r="BT86" s="238"/>
      <c r="BU86" s="237"/>
      <c r="BV86" s="295" t="s">
        <v>152</v>
      </c>
      <c r="BW86" s="295"/>
      <c r="BX86" s="296"/>
      <c r="BY86" s="297"/>
      <c r="BZ86" s="238"/>
      <c r="CA86" s="237"/>
      <c r="CB86" s="295" t="s">
        <v>152</v>
      </c>
      <c r="CC86" s="295"/>
      <c r="CD86" s="296"/>
      <c r="CE86" s="297"/>
      <c r="CF86" s="238"/>
      <c r="CG86" s="237"/>
      <c r="CH86" s="295" t="s">
        <v>152</v>
      </c>
      <c r="CI86" s="295"/>
      <c r="CJ86" s="296"/>
      <c r="CK86" s="297"/>
      <c r="CL86" s="238"/>
      <c r="CM86" s="237"/>
      <c r="CN86" s="295" t="s">
        <v>152</v>
      </c>
      <c r="CO86" s="295"/>
      <c r="CP86" s="296"/>
      <c r="CQ86" s="297"/>
      <c r="CR86" s="238"/>
      <c r="CS86" s="237"/>
      <c r="CT86" s="295" t="s">
        <v>152</v>
      </c>
      <c r="CU86" s="295"/>
      <c r="CV86" s="296"/>
      <c r="CW86" s="297"/>
      <c r="CX86" s="238"/>
      <c r="CY86" s="237"/>
      <c r="CZ86" s="295" t="s">
        <v>152</v>
      </c>
      <c r="DA86" s="295"/>
      <c r="DB86" s="296"/>
      <c r="DC86" s="297"/>
    </row>
    <row r="87" spans="35:107" ht="19.5" customHeight="1">
      <c r="BC87" s="239"/>
      <c r="BD87" s="240" t="s">
        <v>39</v>
      </c>
      <c r="BE87" s="240" t="s">
        <v>132</v>
      </c>
      <c r="BF87" s="240" t="s">
        <v>43</v>
      </c>
      <c r="BG87" s="241" t="s">
        <v>46</v>
      </c>
      <c r="BH87" s="238"/>
      <c r="BI87" s="239"/>
      <c r="BJ87" s="240" t="s">
        <v>39</v>
      </c>
      <c r="BK87" s="240" t="s">
        <v>132</v>
      </c>
      <c r="BL87" s="240" t="s">
        <v>43</v>
      </c>
      <c r="BM87" s="241" t="s">
        <v>46</v>
      </c>
      <c r="BN87" s="238"/>
      <c r="BO87" s="239"/>
      <c r="BP87" s="240" t="s">
        <v>39</v>
      </c>
      <c r="BQ87" s="240" t="s">
        <v>132</v>
      </c>
      <c r="BR87" s="240" t="s">
        <v>43</v>
      </c>
      <c r="BS87" s="241" t="s">
        <v>46</v>
      </c>
      <c r="BT87" s="238"/>
      <c r="BU87" s="239"/>
      <c r="BV87" s="240" t="s">
        <v>39</v>
      </c>
      <c r="BW87" s="240" t="s">
        <v>132</v>
      </c>
      <c r="BX87" s="240" t="s">
        <v>43</v>
      </c>
      <c r="BY87" s="241" t="s">
        <v>46</v>
      </c>
      <c r="BZ87" s="238"/>
      <c r="CA87" s="239"/>
      <c r="CB87" s="240" t="s">
        <v>39</v>
      </c>
      <c r="CC87" s="240" t="s">
        <v>132</v>
      </c>
      <c r="CD87" s="240" t="s">
        <v>43</v>
      </c>
      <c r="CE87" s="241" t="s">
        <v>46</v>
      </c>
      <c r="CF87" s="238"/>
      <c r="CG87" s="239"/>
      <c r="CH87" s="240" t="s">
        <v>39</v>
      </c>
      <c r="CI87" s="240" t="s">
        <v>132</v>
      </c>
      <c r="CJ87" s="240" t="s">
        <v>43</v>
      </c>
      <c r="CK87" s="241" t="s">
        <v>46</v>
      </c>
      <c r="CL87" s="238"/>
      <c r="CM87" s="239"/>
      <c r="CN87" s="240" t="s">
        <v>39</v>
      </c>
      <c r="CO87" s="240" t="s">
        <v>132</v>
      </c>
      <c r="CP87" s="240" t="s">
        <v>43</v>
      </c>
      <c r="CQ87" s="241" t="s">
        <v>46</v>
      </c>
      <c r="CR87" s="238"/>
      <c r="CS87" s="239"/>
      <c r="CT87" s="240" t="s">
        <v>39</v>
      </c>
      <c r="CU87" s="240" t="s">
        <v>132</v>
      </c>
      <c r="CV87" s="240" t="s">
        <v>43</v>
      </c>
      <c r="CW87" s="241" t="s">
        <v>46</v>
      </c>
      <c r="CX87" s="238"/>
      <c r="CY87" s="239"/>
      <c r="CZ87" s="240" t="s">
        <v>39</v>
      </c>
      <c r="DA87" s="240" t="s">
        <v>132</v>
      </c>
      <c r="DB87" s="240" t="s">
        <v>43</v>
      </c>
      <c r="DC87" s="241" t="s">
        <v>46</v>
      </c>
    </row>
    <row r="88" spans="35:107" ht="19.5" customHeight="1">
      <c r="BC88" s="227">
        <v>1.1499999999999999</v>
      </c>
      <c r="BD88" s="242">
        <f t="shared" ref="BD88:BG91" si="214">SUMIFS($BD$14:$BD$54,$O$14:$O$54,BD$87,$N$14:$N$54,$BC88)</f>
        <v>0</v>
      </c>
      <c r="BE88" s="242">
        <f t="shared" si="214"/>
        <v>0</v>
      </c>
      <c r="BF88" s="242">
        <f t="shared" si="214"/>
        <v>0</v>
      </c>
      <c r="BG88" s="243">
        <f t="shared" si="214"/>
        <v>0</v>
      </c>
      <c r="BH88" s="238"/>
      <c r="BI88" s="227">
        <v>1.1499999999999999</v>
      </c>
      <c r="BJ88" s="242">
        <f t="shared" ref="BJ88:BM91" si="215">SUMIFS($BJ$14:$BJ$54,$O$14:$O$54,BJ$87,$N$14:$N$54,$BC88)</f>
        <v>0</v>
      </c>
      <c r="BK88" s="242">
        <f t="shared" si="215"/>
        <v>0</v>
      </c>
      <c r="BL88" s="242">
        <f t="shared" si="215"/>
        <v>0</v>
      </c>
      <c r="BM88" s="243">
        <f t="shared" si="215"/>
        <v>0</v>
      </c>
      <c r="BN88" s="238"/>
      <c r="BO88" s="227">
        <v>1.1499999999999999</v>
      </c>
      <c r="BP88" s="242">
        <f t="shared" ref="BP88:BS91" si="216">SUMIFS($BP$14:$BP$54,$O$14:$O$54,BP$87,$N$14:$N$54,$BC88)</f>
        <v>0</v>
      </c>
      <c r="BQ88" s="242">
        <f t="shared" si="216"/>
        <v>0</v>
      </c>
      <c r="BR88" s="242">
        <f t="shared" si="216"/>
        <v>0</v>
      </c>
      <c r="BS88" s="243">
        <f t="shared" si="216"/>
        <v>0</v>
      </c>
      <c r="BT88" s="238"/>
      <c r="BU88" s="227">
        <v>1.1499999999999999</v>
      </c>
      <c r="BV88" s="242">
        <f t="shared" ref="BV88:BY91" si="217">SUMIFS($BV$14:$BV$54,$O$14:$O$54,BV$87,$N$14:$N$54,$BC88)</f>
        <v>0</v>
      </c>
      <c r="BW88" s="242">
        <f t="shared" si="217"/>
        <v>0</v>
      </c>
      <c r="BX88" s="242">
        <f t="shared" si="217"/>
        <v>0</v>
      </c>
      <c r="BY88" s="243">
        <f t="shared" si="217"/>
        <v>0</v>
      </c>
      <c r="BZ88" s="238"/>
      <c r="CA88" s="227">
        <v>1.1499999999999999</v>
      </c>
      <c r="CB88" s="242">
        <f t="shared" ref="CB88:CE91" si="218">SUMIFS($CB$14:$CB$54,$O$14:$O$54,CB$87,$N$14:$N$54,$BC88)</f>
        <v>0</v>
      </c>
      <c r="CC88" s="242">
        <f t="shared" si="218"/>
        <v>0</v>
      </c>
      <c r="CD88" s="242">
        <f t="shared" si="218"/>
        <v>0</v>
      </c>
      <c r="CE88" s="243">
        <f t="shared" si="218"/>
        <v>0</v>
      </c>
      <c r="CF88" s="238"/>
      <c r="CG88" s="227">
        <v>1.1499999999999999</v>
      </c>
      <c r="CH88" s="242">
        <f t="shared" ref="CH88:CK91" si="219">SUMIFS($CH$14:$CH$54,$O$14:$O$54,CH$87,$N$14:$N$54,$BC88)</f>
        <v>0</v>
      </c>
      <c r="CI88" s="242">
        <f t="shared" si="219"/>
        <v>0</v>
      </c>
      <c r="CJ88" s="242">
        <f t="shared" si="219"/>
        <v>0</v>
      </c>
      <c r="CK88" s="243">
        <f t="shared" si="219"/>
        <v>0</v>
      </c>
      <c r="CL88" s="238"/>
      <c r="CM88" s="227">
        <v>1.1499999999999999</v>
      </c>
      <c r="CN88" s="242">
        <f t="shared" ref="CN88:CQ91" si="220">SUMIFS($CN$14:$CN$54,$O$14:$O$54,CN$87,$N$14:$N$54,$BC88)</f>
        <v>0</v>
      </c>
      <c r="CO88" s="242">
        <f t="shared" si="220"/>
        <v>0</v>
      </c>
      <c r="CP88" s="242">
        <f t="shared" si="220"/>
        <v>0</v>
      </c>
      <c r="CQ88" s="243">
        <f t="shared" si="220"/>
        <v>0</v>
      </c>
      <c r="CR88" s="238"/>
      <c r="CS88" s="227">
        <v>1.1499999999999999</v>
      </c>
      <c r="CT88" s="242">
        <f t="shared" ref="CT88:CW91" si="221">SUMIFS($CT$14:$CT$54,$O$14:$O$54,CT$87,$N$14:$N$54,$BC88)</f>
        <v>0</v>
      </c>
      <c r="CU88" s="242">
        <f t="shared" si="221"/>
        <v>0</v>
      </c>
      <c r="CV88" s="242">
        <f t="shared" si="221"/>
        <v>0</v>
      </c>
      <c r="CW88" s="243">
        <f t="shared" si="221"/>
        <v>0</v>
      </c>
      <c r="CX88" s="238"/>
      <c r="CY88" s="227">
        <v>1.1499999999999999</v>
      </c>
      <c r="CZ88" s="242">
        <f t="shared" ref="CZ88:DC91" si="222">SUMIFS($CZ$14:$CZ$54,$O$14:$O$54,CZ$87,$N$14:$N$54,$BC88)</f>
        <v>0</v>
      </c>
      <c r="DA88" s="242">
        <f t="shared" si="222"/>
        <v>0</v>
      </c>
      <c r="DB88" s="242">
        <f t="shared" si="222"/>
        <v>0</v>
      </c>
      <c r="DC88" s="243">
        <f t="shared" si="222"/>
        <v>0</v>
      </c>
    </row>
    <row r="89" spans="35:107" ht="19.5" customHeight="1">
      <c r="BC89" s="244" t="s">
        <v>137</v>
      </c>
      <c r="BD89" s="242">
        <f t="shared" si="214"/>
        <v>0</v>
      </c>
      <c r="BE89" s="242">
        <f t="shared" si="214"/>
        <v>0</v>
      </c>
      <c r="BF89" s="242">
        <f t="shared" si="214"/>
        <v>0</v>
      </c>
      <c r="BG89" s="243">
        <f t="shared" si="214"/>
        <v>0</v>
      </c>
      <c r="BH89" s="238"/>
      <c r="BI89" s="244" t="s">
        <v>137</v>
      </c>
      <c r="BJ89" s="242">
        <f t="shared" si="215"/>
        <v>0</v>
      </c>
      <c r="BK89" s="242">
        <f t="shared" si="215"/>
        <v>0</v>
      </c>
      <c r="BL89" s="242">
        <f t="shared" si="215"/>
        <v>0</v>
      </c>
      <c r="BM89" s="243">
        <f t="shared" si="215"/>
        <v>0</v>
      </c>
      <c r="BN89" s="238"/>
      <c r="BO89" s="244" t="s">
        <v>137</v>
      </c>
      <c r="BP89" s="242">
        <f t="shared" si="216"/>
        <v>0</v>
      </c>
      <c r="BQ89" s="242">
        <f t="shared" si="216"/>
        <v>0</v>
      </c>
      <c r="BR89" s="242">
        <f t="shared" si="216"/>
        <v>0</v>
      </c>
      <c r="BS89" s="243">
        <f t="shared" si="216"/>
        <v>0</v>
      </c>
      <c r="BT89" s="238"/>
      <c r="BU89" s="244" t="s">
        <v>137</v>
      </c>
      <c r="BV89" s="242">
        <f t="shared" si="217"/>
        <v>0</v>
      </c>
      <c r="BW89" s="242">
        <f t="shared" si="217"/>
        <v>0</v>
      </c>
      <c r="BX89" s="242">
        <f t="shared" si="217"/>
        <v>0</v>
      </c>
      <c r="BY89" s="243">
        <f t="shared" si="217"/>
        <v>0</v>
      </c>
      <c r="BZ89" s="238"/>
      <c r="CA89" s="244" t="s">
        <v>137</v>
      </c>
      <c r="CB89" s="242">
        <f t="shared" si="218"/>
        <v>0</v>
      </c>
      <c r="CC89" s="242">
        <f t="shared" si="218"/>
        <v>0</v>
      </c>
      <c r="CD89" s="242">
        <f t="shared" si="218"/>
        <v>0</v>
      </c>
      <c r="CE89" s="243">
        <f t="shared" si="218"/>
        <v>0</v>
      </c>
      <c r="CF89" s="238"/>
      <c r="CG89" s="244" t="s">
        <v>137</v>
      </c>
      <c r="CH89" s="242">
        <f t="shared" si="219"/>
        <v>0</v>
      </c>
      <c r="CI89" s="242">
        <f t="shared" si="219"/>
        <v>0</v>
      </c>
      <c r="CJ89" s="242">
        <f t="shared" si="219"/>
        <v>0</v>
      </c>
      <c r="CK89" s="243">
        <f t="shared" si="219"/>
        <v>0</v>
      </c>
      <c r="CL89" s="238"/>
      <c r="CM89" s="244" t="s">
        <v>137</v>
      </c>
      <c r="CN89" s="242">
        <f t="shared" si="220"/>
        <v>0</v>
      </c>
      <c r="CO89" s="242">
        <f t="shared" si="220"/>
        <v>0</v>
      </c>
      <c r="CP89" s="242">
        <f t="shared" si="220"/>
        <v>0</v>
      </c>
      <c r="CQ89" s="243">
        <f t="shared" si="220"/>
        <v>0</v>
      </c>
      <c r="CR89" s="238"/>
      <c r="CS89" s="244" t="s">
        <v>137</v>
      </c>
      <c r="CT89" s="242">
        <f t="shared" si="221"/>
        <v>0</v>
      </c>
      <c r="CU89" s="242">
        <f t="shared" si="221"/>
        <v>0</v>
      </c>
      <c r="CV89" s="242">
        <f t="shared" si="221"/>
        <v>0</v>
      </c>
      <c r="CW89" s="243">
        <f t="shared" si="221"/>
        <v>0</v>
      </c>
      <c r="CX89" s="238"/>
      <c r="CY89" s="244" t="s">
        <v>137</v>
      </c>
      <c r="CZ89" s="242">
        <f t="shared" si="222"/>
        <v>0</v>
      </c>
      <c r="DA89" s="242">
        <f t="shared" si="222"/>
        <v>0</v>
      </c>
      <c r="DB89" s="242">
        <f t="shared" si="222"/>
        <v>0</v>
      </c>
      <c r="DC89" s="243">
        <f t="shared" si="222"/>
        <v>0</v>
      </c>
    </row>
    <row r="90" spans="35:107" ht="19.5" customHeight="1">
      <c r="BC90" s="244" t="s">
        <v>138</v>
      </c>
      <c r="BD90" s="242">
        <f t="shared" si="214"/>
        <v>700</v>
      </c>
      <c r="BE90" s="242">
        <f t="shared" si="214"/>
        <v>0</v>
      </c>
      <c r="BF90" s="242">
        <f t="shared" si="214"/>
        <v>0</v>
      </c>
      <c r="BG90" s="243">
        <f t="shared" si="214"/>
        <v>0</v>
      </c>
      <c r="BH90" s="238"/>
      <c r="BI90" s="244" t="s">
        <v>138</v>
      </c>
      <c r="BJ90" s="242">
        <f t="shared" si="215"/>
        <v>0</v>
      </c>
      <c r="BK90" s="242">
        <f t="shared" si="215"/>
        <v>0</v>
      </c>
      <c r="BL90" s="242">
        <f t="shared" si="215"/>
        <v>0</v>
      </c>
      <c r="BM90" s="243">
        <f t="shared" si="215"/>
        <v>0</v>
      </c>
      <c r="BN90" s="238"/>
      <c r="BO90" s="244" t="s">
        <v>138</v>
      </c>
      <c r="BP90" s="242">
        <f t="shared" si="216"/>
        <v>0</v>
      </c>
      <c r="BQ90" s="242">
        <f t="shared" si="216"/>
        <v>0</v>
      </c>
      <c r="BR90" s="242">
        <f t="shared" si="216"/>
        <v>0</v>
      </c>
      <c r="BS90" s="243">
        <f t="shared" si="216"/>
        <v>0</v>
      </c>
      <c r="BT90" s="238"/>
      <c r="BU90" s="244" t="s">
        <v>138</v>
      </c>
      <c r="BV90" s="242">
        <f t="shared" si="217"/>
        <v>0</v>
      </c>
      <c r="BW90" s="242">
        <f t="shared" si="217"/>
        <v>0</v>
      </c>
      <c r="BX90" s="242">
        <f t="shared" si="217"/>
        <v>0</v>
      </c>
      <c r="BY90" s="243">
        <f t="shared" si="217"/>
        <v>0</v>
      </c>
      <c r="BZ90" s="238"/>
      <c r="CA90" s="244" t="s">
        <v>138</v>
      </c>
      <c r="CB90" s="242">
        <f t="shared" si="218"/>
        <v>0</v>
      </c>
      <c r="CC90" s="242">
        <f t="shared" si="218"/>
        <v>0</v>
      </c>
      <c r="CD90" s="242">
        <f t="shared" si="218"/>
        <v>0</v>
      </c>
      <c r="CE90" s="243">
        <f t="shared" si="218"/>
        <v>0</v>
      </c>
      <c r="CF90" s="238"/>
      <c r="CG90" s="244" t="s">
        <v>138</v>
      </c>
      <c r="CH90" s="242">
        <f t="shared" si="219"/>
        <v>0</v>
      </c>
      <c r="CI90" s="242">
        <f t="shared" si="219"/>
        <v>0</v>
      </c>
      <c r="CJ90" s="242">
        <f t="shared" si="219"/>
        <v>0</v>
      </c>
      <c r="CK90" s="243">
        <f t="shared" si="219"/>
        <v>0</v>
      </c>
      <c r="CL90" s="238"/>
      <c r="CM90" s="244" t="s">
        <v>138</v>
      </c>
      <c r="CN90" s="242">
        <f t="shared" si="220"/>
        <v>0</v>
      </c>
      <c r="CO90" s="242">
        <f t="shared" si="220"/>
        <v>0</v>
      </c>
      <c r="CP90" s="242">
        <f t="shared" si="220"/>
        <v>0</v>
      </c>
      <c r="CQ90" s="243">
        <f t="shared" si="220"/>
        <v>0</v>
      </c>
      <c r="CR90" s="238"/>
      <c r="CS90" s="244" t="s">
        <v>138</v>
      </c>
      <c r="CT90" s="242">
        <f t="shared" si="221"/>
        <v>0</v>
      </c>
      <c r="CU90" s="242">
        <f t="shared" si="221"/>
        <v>0</v>
      </c>
      <c r="CV90" s="242">
        <f t="shared" si="221"/>
        <v>0</v>
      </c>
      <c r="CW90" s="243">
        <f t="shared" si="221"/>
        <v>0</v>
      </c>
      <c r="CX90" s="238"/>
      <c r="CY90" s="244" t="s">
        <v>138</v>
      </c>
      <c r="CZ90" s="242">
        <f t="shared" si="222"/>
        <v>0</v>
      </c>
      <c r="DA90" s="242">
        <f t="shared" si="222"/>
        <v>0</v>
      </c>
      <c r="DB90" s="242">
        <f t="shared" si="222"/>
        <v>0</v>
      </c>
      <c r="DC90" s="243">
        <f t="shared" si="222"/>
        <v>0</v>
      </c>
    </row>
    <row r="91" spans="35:107" ht="19.5" customHeight="1">
      <c r="BC91" s="244" t="s">
        <v>141</v>
      </c>
      <c r="BD91" s="242">
        <f t="shared" si="214"/>
        <v>0</v>
      </c>
      <c r="BE91" s="242">
        <f t="shared" si="214"/>
        <v>0</v>
      </c>
      <c r="BF91" s="242">
        <f t="shared" si="214"/>
        <v>0</v>
      </c>
      <c r="BG91" s="243">
        <f t="shared" si="214"/>
        <v>0</v>
      </c>
      <c r="BH91" s="238"/>
      <c r="BI91" s="244" t="s">
        <v>141</v>
      </c>
      <c r="BJ91" s="242">
        <f t="shared" si="215"/>
        <v>0</v>
      </c>
      <c r="BK91" s="242">
        <f t="shared" si="215"/>
        <v>0</v>
      </c>
      <c r="BL91" s="242">
        <f t="shared" si="215"/>
        <v>0</v>
      </c>
      <c r="BM91" s="243">
        <f t="shared" si="215"/>
        <v>0</v>
      </c>
      <c r="BN91" s="238"/>
      <c r="BO91" s="244" t="s">
        <v>141</v>
      </c>
      <c r="BP91" s="242">
        <f t="shared" si="216"/>
        <v>0</v>
      </c>
      <c r="BQ91" s="242">
        <f t="shared" si="216"/>
        <v>0</v>
      </c>
      <c r="BR91" s="242">
        <f t="shared" si="216"/>
        <v>0</v>
      </c>
      <c r="BS91" s="243">
        <f t="shared" si="216"/>
        <v>0</v>
      </c>
      <c r="BT91" s="238"/>
      <c r="BU91" s="244" t="s">
        <v>141</v>
      </c>
      <c r="BV91" s="242">
        <f t="shared" si="217"/>
        <v>0</v>
      </c>
      <c r="BW91" s="242">
        <f t="shared" si="217"/>
        <v>0</v>
      </c>
      <c r="BX91" s="242">
        <f t="shared" si="217"/>
        <v>0</v>
      </c>
      <c r="BY91" s="243">
        <f t="shared" si="217"/>
        <v>0</v>
      </c>
      <c r="BZ91" s="238"/>
      <c r="CA91" s="244" t="s">
        <v>141</v>
      </c>
      <c r="CB91" s="242">
        <f t="shared" si="218"/>
        <v>0</v>
      </c>
      <c r="CC91" s="242">
        <f t="shared" si="218"/>
        <v>0</v>
      </c>
      <c r="CD91" s="242">
        <f t="shared" si="218"/>
        <v>0</v>
      </c>
      <c r="CE91" s="243">
        <f t="shared" si="218"/>
        <v>0</v>
      </c>
      <c r="CF91" s="238"/>
      <c r="CG91" s="244" t="s">
        <v>141</v>
      </c>
      <c r="CH91" s="242">
        <f t="shared" si="219"/>
        <v>0</v>
      </c>
      <c r="CI91" s="242">
        <f t="shared" si="219"/>
        <v>0</v>
      </c>
      <c r="CJ91" s="242">
        <f t="shared" si="219"/>
        <v>0</v>
      </c>
      <c r="CK91" s="243">
        <f t="shared" si="219"/>
        <v>0</v>
      </c>
      <c r="CL91" s="238"/>
      <c r="CM91" s="244" t="s">
        <v>141</v>
      </c>
      <c r="CN91" s="242">
        <f t="shared" si="220"/>
        <v>0</v>
      </c>
      <c r="CO91" s="242">
        <f t="shared" si="220"/>
        <v>0</v>
      </c>
      <c r="CP91" s="242">
        <f t="shared" si="220"/>
        <v>0</v>
      </c>
      <c r="CQ91" s="243">
        <f t="shared" si="220"/>
        <v>0</v>
      </c>
      <c r="CR91" s="238"/>
      <c r="CS91" s="244" t="s">
        <v>141</v>
      </c>
      <c r="CT91" s="242">
        <f t="shared" si="221"/>
        <v>0</v>
      </c>
      <c r="CU91" s="242">
        <f t="shared" si="221"/>
        <v>0</v>
      </c>
      <c r="CV91" s="242">
        <f t="shared" si="221"/>
        <v>0</v>
      </c>
      <c r="CW91" s="243">
        <f t="shared" si="221"/>
        <v>0</v>
      </c>
      <c r="CX91" s="238"/>
      <c r="CY91" s="244" t="s">
        <v>141</v>
      </c>
      <c r="CZ91" s="242">
        <f t="shared" si="222"/>
        <v>0</v>
      </c>
      <c r="DA91" s="242">
        <f t="shared" si="222"/>
        <v>0</v>
      </c>
      <c r="DB91" s="242">
        <f t="shared" si="222"/>
        <v>0</v>
      </c>
      <c r="DC91" s="243">
        <f t="shared" si="222"/>
        <v>0</v>
      </c>
    </row>
    <row r="92" spans="35:107" ht="19.5" customHeight="1">
      <c r="BC92" s="239" t="s">
        <v>146</v>
      </c>
      <c r="BD92" s="245">
        <f>SUM(BD88:BD91)</f>
        <v>700</v>
      </c>
      <c r="BE92" s="245">
        <f>SUM(BE88:BE91)</f>
        <v>0</v>
      </c>
      <c r="BF92" s="245">
        <f>SUM(BF88:BF91)</f>
        <v>0</v>
      </c>
      <c r="BG92" s="246">
        <f>SUM(BG88:BG91)</f>
        <v>0</v>
      </c>
      <c r="BH92" s="238"/>
      <c r="BI92" s="239" t="s">
        <v>146</v>
      </c>
      <c r="BJ92" s="245">
        <f>SUM(BJ88:BJ91)</f>
        <v>0</v>
      </c>
      <c r="BK92" s="245">
        <f>SUM(BK88:BK91)</f>
        <v>0</v>
      </c>
      <c r="BL92" s="245">
        <f>SUM(BL88:BL91)</f>
        <v>0</v>
      </c>
      <c r="BM92" s="246">
        <f>SUM(BM88:BM91)</f>
        <v>0</v>
      </c>
      <c r="BN92" s="238"/>
      <c r="BO92" s="239" t="s">
        <v>146</v>
      </c>
      <c r="BP92" s="245">
        <f>SUM(BP88:BP91)</f>
        <v>0</v>
      </c>
      <c r="BQ92" s="245">
        <f>SUM(BQ88:BQ91)</f>
        <v>0</v>
      </c>
      <c r="BR92" s="245">
        <f>SUM(BR88:BR91)</f>
        <v>0</v>
      </c>
      <c r="BS92" s="246">
        <f>SUM(BS88:BS91)</f>
        <v>0</v>
      </c>
      <c r="BT92" s="238"/>
      <c r="BU92" s="239" t="s">
        <v>146</v>
      </c>
      <c r="BV92" s="245">
        <f>SUM(BV88:BV91)</f>
        <v>0</v>
      </c>
      <c r="BW92" s="245">
        <f>SUM(BW88:BW91)</f>
        <v>0</v>
      </c>
      <c r="BX92" s="245">
        <f>SUM(BX88:BX91)</f>
        <v>0</v>
      </c>
      <c r="BY92" s="246">
        <f>SUM(BY88:BY91)</f>
        <v>0</v>
      </c>
      <c r="BZ92" s="238"/>
      <c r="CA92" s="239" t="s">
        <v>146</v>
      </c>
      <c r="CB92" s="245">
        <f>SUM(CB88:CB91)</f>
        <v>0</v>
      </c>
      <c r="CC92" s="245">
        <f>SUM(CC88:CC91)</f>
        <v>0</v>
      </c>
      <c r="CD92" s="245">
        <f>SUM(CD88:CD91)</f>
        <v>0</v>
      </c>
      <c r="CE92" s="246">
        <f>SUM(CE88:CE91)</f>
        <v>0</v>
      </c>
      <c r="CF92" s="238"/>
      <c r="CG92" s="239" t="s">
        <v>146</v>
      </c>
      <c r="CH92" s="245">
        <f>SUM(CH88:CH91)</f>
        <v>0</v>
      </c>
      <c r="CI92" s="245">
        <f>SUM(CI88:CI91)</f>
        <v>0</v>
      </c>
      <c r="CJ92" s="245">
        <f>SUM(CJ88:CJ91)</f>
        <v>0</v>
      </c>
      <c r="CK92" s="246">
        <f>SUM(CK88:CK91)</f>
        <v>0</v>
      </c>
      <c r="CL92" s="238"/>
      <c r="CM92" s="239" t="s">
        <v>146</v>
      </c>
      <c r="CN92" s="245">
        <f>SUM(CN88:CN91)</f>
        <v>0</v>
      </c>
      <c r="CO92" s="245">
        <f>SUM(CO88:CO91)</f>
        <v>0</v>
      </c>
      <c r="CP92" s="245">
        <f>SUM(CP88:CP91)</f>
        <v>0</v>
      </c>
      <c r="CQ92" s="246">
        <f>SUM(CQ88:CQ91)</f>
        <v>0</v>
      </c>
      <c r="CR92" s="238"/>
      <c r="CS92" s="239" t="s">
        <v>146</v>
      </c>
      <c r="CT92" s="245">
        <f>SUM(CT88:CT91)</f>
        <v>0</v>
      </c>
      <c r="CU92" s="245">
        <f>SUM(CU88:CU91)</f>
        <v>0</v>
      </c>
      <c r="CV92" s="245">
        <f>SUM(CV88:CV91)</f>
        <v>0</v>
      </c>
      <c r="CW92" s="246">
        <f>SUM(CW88:CW91)</f>
        <v>0</v>
      </c>
      <c r="CX92" s="238"/>
      <c r="CY92" s="239" t="s">
        <v>146</v>
      </c>
      <c r="CZ92" s="245">
        <f>SUM(CZ88:CZ91)</f>
        <v>0</v>
      </c>
      <c r="DA92" s="245">
        <f>SUM(DA88:DA91)</f>
        <v>0</v>
      </c>
      <c r="DB92" s="245">
        <f>SUM(DB88:DB91)</f>
        <v>0</v>
      </c>
      <c r="DC92" s="246">
        <f>SUM(DC88:DC91)</f>
        <v>0</v>
      </c>
    </row>
    <row r="93" spans="35:107" ht="19.5" customHeight="1">
      <c r="BC93" s="247" t="s">
        <v>153</v>
      </c>
      <c r="BD93" s="248">
        <f>BD92+BE92+BF92+BG92</f>
        <v>700</v>
      </c>
      <c r="BE93" s="249"/>
      <c r="BF93" s="249"/>
      <c r="BG93" s="250"/>
      <c r="BH93" s="238"/>
      <c r="BI93" s="247" t="s">
        <v>153</v>
      </c>
      <c r="BJ93" s="248">
        <f>BJ92+BK92+BL92+BM92</f>
        <v>0</v>
      </c>
      <c r="BK93" s="249"/>
      <c r="BL93" s="249"/>
      <c r="BM93" s="250"/>
      <c r="BN93" s="238"/>
      <c r="BO93" s="247" t="s">
        <v>153</v>
      </c>
      <c r="BP93" s="248">
        <f>BP92+BQ92+BR92+BS92</f>
        <v>0</v>
      </c>
      <c r="BQ93" s="249"/>
      <c r="BR93" s="249"/>
      <c r="BS93" s="250"/>
      <c r="BT93" s="238"/>
      <c r="BU93" s="247" t="s">
        <v>153</v>
      </c>
      <c r="BV93" s="248">
        <f>BV92+BW92+BX92+BY92</f>
        <v>0</v>
      </c>
      <c r="BW93" s="249"/>
      <c r="BX93" s="249"/>
      <c r="BY93" s="250"/>
      <c r="BZ93" s="238"/>
      <c r="CA93" s="247" t="s">
        <v>153</v>
      </c>
      <c r="CB93" s="248">
        <f>CB92+CC92+CD92+CE92</f>
        <v>0</v>
      </c>
      <c r="CC93" s="249"/>
      <c r="CD93" s="249"/>
      <c r="CE93" s="250"/>
      <c r="CF93" s="238"/>
      <c r="CG93" s="247" t="s">
        <v>153</v>
      </c>
      <c r="CH93" s="248">
        <f>CH92+CI92+CJ92+CK92</f>
        <v>0</v>
      </c>
      <c r="CI93" s="249"/>
      <c r="CJ93" s="249"/>
      <c r="CK93" s="250"/>
      <c r="CL93" s="238"/>
      <c r="CM93" s="247" t="s">
        <v>153</v>
      </c>
      <c r="CN93" s="248">
        <f>CN92+CO92+CP92+CQ92</f>
        <v>0</v>
      </c>
      <c r="CO93" s="249"/>
      <c r="CP93" s="249"/>
      <c r="CQ93" s="250"/>
      <c r="CR93" s="238"/>
      <c r="CS93" s="247" t="s">
        <v>153</v>
      </c>
      <c r="CT93" s="248">
        <f>CT92+CU92+CV92+CW92</f>
        <v>0</v>
      </c>
      <c r="CU93" s="249"/>
      <c r="CV93" s="249"/>
      <c r="CW93" s="250"/>
      <c r="CX93" s="238"/>
      <c r="CY93" s="247" t="s">
        <v>153</v>
      </c>
      <c r="CZ93" s="248">
        <f>CZ92+DA92+DB92+DC92</f>
        <v>0</v>
      </c>
      <c r="DA93" s="249"/>
      <c r="DB93" s="249"/>
      <c r="DC93" s="250"/>
    </row>
  </sheetData>
  <mergeCells count="209">
    <mergeCell ref="DD9:DD12"/>
    <mergeCell ref="DE9:DE12"/>
    <mergeCell ref="DF9:DF12"/>
    <mergeCell ref="DG9:DG12"/>
    <mergeCell ref="CT77:CU77"/>
    <mergeCell ref="CV77:CW77"/>
    <mergeCell ref="CT86:CU86"/>
    <mergeCell ref="CV86:CW86"/>
    <mergeCell ref="CZ77:DA77"/>
    <mergeCell ref="DB77:DC77"/>
    <mergeCell ref="CZ86:DA86"/>
    <mergeCell ref="DB86:DC86"/>
    <mergeCell ref="CT58:CU58"/>
    <mergeCell ref="CV58:CW58"/>
    <mergeCell ref="CZ58:DA58"/>
    <mergeCell ref="DB58:DC58"/>
    <mergeCell ref="CV68:CW68"/>
    <mergeCell ref="CZ68:DA68"/>
    <mergeCell ref="DB68:DC68"/>
    <mergeCell ref="DB59:DC59"/>
    <mergeCell ref="CV59:CW59"/>
    <mergeCell ref="CZ59:DA59"/>
    <mergeCell ref="CD77:CE77"/>
    <mergeCell ref="CD86:CE86"/>
    <mergeCell ref="CH77:CI77"/>
    <mergeCell ref="CJ77:CK77"/>
    <mergeCell ref="CH86:CI86"/>
    <mergeCell ref="CJ86:CK86"/>
    <mergeCell ref="CN77:CO77"/>
    <mergeCell ref="CP77:CQ77"/>
    <mergeCell ref="CN86:CO86"/>
    <mergeCell ref="CP86:CQ86"/>
    <mergeCell ref="BL68:BM68"/>
    <mergeCell ref="CB77:CC77"/>
    <mergeCell ref="CB86:CC86"/>
    <mergeCell ref="BP68:BQ68"/>
    <mergeCell ref="BR68:BS68"/>
    <mergeCell ref="BV68:BW68"/>
    <mergeCell ref="BX68:BY68"/>
    <mergeCell ref="CB68:CC68"/>
    <mergeCell ref="BF59:BG59"/>
    <mergeCell ref="BJ59:BK59"/>
    <mergeCell ref="BL59:BM59"/>
    <mergeCell ref="BP59:BQ59"/>
    <mergeCell ref="BR59:BS59"/>
    <mergeCell ref="BP77:BQ77"/>
    <mergeCell ref="BR77:BS77"/>
    <mergeCell ref="BP86:BQ86"/>
    <mergeCell ref="BR86:BS86"/>
    <mergeCell ref="BV77:BW77"/>
    <mergeCell ref="BX77:BY77"/>
    <mergeCell ref="BV86:BW86"/>
    <mergeCell ref="BX86:BY86"/>
    <mergeCell ref="BL77:BM77"/>
    <mergeCell ref="BL86:BM86"/>
    <mergeCell ref="CD68:CE68"/>
    <mergeCell ref="CH68:CI68"/>
    <mergeCell ref="CJ68:CK68"/>
    <mergeCell ref="CN68:CO68"/>
    <mergeCell ref="CP68:CQ68"/>
    <mergeCell ref="CT68:CU68"/>
    <mergeCell ref="CN58:CO58"/>
    <mergeCell ref="BF58:BG58"/>
    <mergeCell ref="BJ58:BK58"/>
    <mergeCell ref="BL58:BM58"/>
    <mergeCell ref="BP58:BQ58"/>
    <mergeCell ref="BR58:BS58"/>
    <mergeCell ref="BV58:BW58"/>
    <mergeCell ref="CJ59:CK59"/>
    <mergeCell ref="BV59:BW59"/>
    <mergeCell ref="BX59:BY59"/>
    <mergeCell ref="CB59:CC59"/>
    <mergeCell ref="CD59:CE59"/>
    <mergeCell ref="CH59:CI59"/>
    <mergeCell ref="CP58:CQ58"/>
    <mergeCell ref="CN59:CO59"/>
    <mergeCell ref="CP59:CQ59"/>
    <mergeCell ref="CT59:CU59"/>
    <mergeCell ref="CB58:CC58"/>
    <mergeCell ref="CD58:CE58"/>
    <mergeCell ref="CH58:CI58"/>
    <mergeCell ref="CJ58:CK58"/>
    <mergeCell ref="O58:P58"/>
    <mergeCell ref="BD58:BE58"/>
    <mergeCell ref="DA11:DA12"/>
    <mergeCell ref="DB11:DB12"/>
    <mergeCell ref="DC11:DC12"/>
    <mergeCell ref="CU11:CU12"/>
    <mergeCell ref="CV11:CV12"/>
    <mergeCell ref="CW11:CW12"/>
    <mergeCell ref="CX11:CX12"/>
    <mergeCell ref="CY11:CY12"/>
    <mergeCell ref="CZ11:CZ12"/>
    <mergeCell ref="CO11:CO12"/>
    <mergeCell ref="CP11:CP12"/>
    <mergeCell ref="CQ11:CQ12"/>
    <mergeCell ref="CR11:CR12"/>
    <mergeCell ref="CS11:CS12"/>
    <mergeCell ref="CT11:CT12"/>
    <mergeCell ref="CI11:CI12"/>
    <mergeCell ref="CJ11:CJ12"/>
    <mergeCell ref="CK11:CK12"/>
    <mergeCell ref="BX58:BY58"/>
    <mergeCell ref="CL9:CQ9"/>
    <mergeCell ref="CR9:CW9"/>
    <mergeCell ref="CX9:DC9"/>
    <mergeCell ref="BQ11:BQ12"/>
    <mergeCell ref="BR11:BR12"/>
    <mergeCell ref="CL11:CL12"/>
    <mergeCell ref="CM11:CM12"/>
    <mergeCell ref="CN11:CN12"/>
    <mergeCell ref="BN11:BN12"/>
    <mergeCell ref="BO11:BO12"/>
    <mergeCell ref="BP11:BP12"/>
    <mergeCell ref="CC11:CC12"/>
    <mergeCell ref="CD11:CD12"/>
    <mergeCell ref="CE11:CE12"/>
    <mergeCell ref="BS11:BS12"/>
    <mergeCell ref="BT11:BT12"/>
    <mergeCell ref="BU11:BU12"/>
    <mergeCell ref="BV11:BV12"/>
    <mergeCell ref="CF11:CF12"/>
    <mergeCell ref="CG11:CG12"/>
    <mergeCell ref="CH11:CH12"/>
    <mergeCell ref="BW11:BW12"/>
    <mergeCell ref="BX11:BX12"/>
    <mergeCell ref="BY11:BY12"/>
    <mergeCell ref="BT9:BY9"/>
    <mergeCell ref="BZ9:CE9"/>
    <mergeCell ref="CF9:CK9"/>
    <mergeCell ref="BE11:BE12"/>
    <mergeCell ref="BF11:BF12"/>
    <mergeCell ref="BG11:BG12"/>
    <mergeCell ref="BH11:BH12"/>
    <mergeCell ref="BI11:BI12"/>
    <mergeCell ref="BJ11:BJ12"/>
    <mergeCell ref="BZ11:BZ12"/>
    <mergeCell ref="CA11:CA12"/>
    <mergeCell ref="CB11:CB12"/>
    <mergeCell ref="BM11:BM12"/>
    <mergeCell ref="P9:P12"/>
    <mergeCell ref="G9:G12"/>
    <mergeCell ref="T11:T12"/>
    <mergeCell ref="BN9:BS9"/>
    <mergeCell ref="U11:U12"/>
    <mergeCell ref="BA9:BA12"/>
    <mergeCell ref="BB9:BG9"/>
    <mergeCell ref="BH9:BM9"/>
    <mergeCell ref="V11:V12"/>
    <mergeCell ref="W11:W12"/>
    <mergeCell ref="X11:X12"/>
    <mergeCell ref="AF9:AI10"/>
    <mergeCell ref="BL11:BL12"/>
    <mergeCell ref="AJ11:AJ12"/>
    <mergeCell ref="AK11:AK12"/>
    <mergeCell ref="AL11:AL12"/>
    <mergeCell ref="BB11:BB12"/>
    <mergeCell ref="BC11:BC12"/>
    <mergeCell ref="BD11:BD12"/>
    <mergeCell ref="M9:M12"/>
    <mergeCell ref="AJ9:AL10"/>
    <mergeCell ref="BD77:BE77"/>
    <mergeCell ref="BF77:BG77"/>
    <mergeCell ref="Q9:Q12"/>
    <mergeCell ref="A3:AH3"/>
    <mergeCell ref="A9:A12"/>
    <mergeCell ref="B9:B12"/>
    <mergeCell ref="C9:C12"/>
    <mergeCell ref="D9:D12"/>
    <mergeCell ref="E9:E12"/>
    <mergeCell ref="F9:F12"/>
    <mergeCell ref="H9:H12"/>
    <mergeCell ref="I9:I12"/>
    <mergeCell ref="J9:J12"/>
    <mergeCell ref="R9:R12"/>
    <mergeCell ref="S9:S12"/>
    <mergeCell ref="Y9:Y12"/>
    <mergeCell ref="AD11:AD12"/>
    <mergeCell ref="AE11:AE12"/>
    <mergeCell ref="AF11:AF12"/>
    <mergeCell ref="AH11:AH12"/>
    <mergeCell ref="K9:K12"/>
    <mergeCell ref="L9:L12"/>
    <mergeCell ref="N9:N12"/>
    <mergeCell ref="O9:O12"/>
    <mergeCell ref="BD86:BE86"/>
    <mergeCell ref="BF86:BG86"/>
    <mergeCell ref="BJ77:BK77"/>
    <mergeCell ref="AB11:AB12"/>
    <mergeCell ref="AC11:AC12"/>
    <mergeCell ref="Z9:AE10"/>
    <mergeCell ref="AM10:AQ10"/>
    <mergeCell ref="AM11:AN11"/>
    <mergeCell ref="AO11:AQ11"/>
    <mergeCell ref="AM9:AZ9"/>
    <mergeCell ref="BD59:BE59"/>
    <mergeCell ref="BD68:BE68"/>
    <mergeCell ref="BJ86:BK86"/>
    <mergeCell ref="BF68:BG68"/>
    <mergeCell ref="BJ68:BK68"/>
    <mergeCell ref="Z56:AE56"/>
    <mergeCell ref="BK11:BK12"/>
    <mergeCell ref="Z11:Z12"/>
    <mergeCell ref="AA11:AA12"/>
    <mergeCell ref="AR10:AV10"/>
    <mergeCell ref="AW10:AZ10"/>
    <mergeCell ref="AW11:AZ11"/>
    <mergeCell ref="AT11:AV11"/>
    <mergeCell ref="AR11:AS11"/>
  </mergeCells>
  <phoneticPr fontId="6"/>
  <conditionalFormatting sqref="DE14:DE54">
    <cfRule type="cellIs" dxfId="0" priority="1" operator="lessThan">
      <formula>0</formula>
    </cfRule>
  </conditionalFormatting>
  <dataValidations count="6">
    <dataValidation type="list" allowBlank="1" showInputMessage="1" showErrorMessage="1" sqref="DC4:DC7 CE4:CE7 BY4:BY7 BS4:BS7 BM4:BM7 CK4:CK7 CQ4:CQ7 CW4:CW7 BG4:BG7" xr:uid="{34F13F38-C227-413A-9B44-01E431F51B2B}">
      <formula1>$AK$4:$AK$7</formula1>
    </dataValidation>
    <dataValidation type="list" allowBlank="1" showInputMessage="1" showErrorMessage="1" sqref="N56 N14:N54" xr:uid="{31E176D1-1813-426F-B205-9AAE2DF3B7ED}">
      <formula1>$AJ$4:$AJ$7</formula1>
    </dataValidation>
    <dataValidation type="list" allowBlank="1" showInputMessage="1" showErrorMessage="1" sqref="O56 O30:O54" xr:uid="{2B28A4F6-5836-4AB0-A45D-5700A3D11E96}">
      <formula1>$AI$4:$AI$7</formula1>
    </dataValidation>
    <dataValidation type="list" allowBlank="1" showInputMessage="1" showErrorMessage="1" sqref="O14:O29" xr:uid="{292ED5D9-3BDA-491B-838B-478E9DDCFA0D}">
      <formula1>$BE$4:$BE$7</formula1>
    </dataValidation>
    <dataValidation type="list" allowBlank="1" showInputMessage="1" showErrorMessage="1" sqref="AP14:AP54 AY14:AY54 AU14:AU54" xr:uid="{2B511170-2EB4-4166-B351-F26ABF5D747A}">
      <formula1>$AO$4:$AO$6</formula1>
    </dataValidation>
    <dataValidation type="list" allowBlank="1" showInputMessage="1" showErrorMessage="1" sqref="M14:M54" xr:uid="{E3B6DBF9-66AD-44AD-954F-351DE0D685C6}">
      <formula1>$M$7</formula1>
    </dataValidation>
  </dataValidations>
  <pageMargins left="0.31496062992125984" right="0.31496062992125984" top="0.74803149606299213" bottom="0.55118110236220474" header="0.31496062992125984" footer="0.31496062992125984"/>
  <pageSetup paperSize="8" scale="15" orientation="landscape" r:id="rId1"/>
  <headerFooter>
    <oddHeader>&amp;L&amp;20R7管理シート（補填金交付用）&amp;R&amp;20&amp;A</oddHeader>
  </headerFooter>
  <colBreaks count="1" manualBreakCount="1">
    <brk id="38" max="69" man="1"/>
  </colBreak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D5E5C-0850-473C-B9C0-12E495CAED92}">
  <sheetPr>
    <tabColor rgb="FFFFCCFF"/>
  </sheetPr>
  <dimension ref="A1:R43"/>
  <sheetViews>
    <sheetView view="pageBreakPreview" zoomScaleNormal="100" zoomScaleSheetLayoutView="100" workbookViewId="0">
      <selection activeCell="M8" sqref="M8"/>
    </sheetView>
  </sheetViews>
  <sheetFormatPr defaultRowHeight="18"/>
  <cols>
    <col min="1" max="1" width="14.796875" style="129" bestFit="1" customWidth="1"/>
    <col min="2" max="2" width="13" style="131" bestFit="1" customWidth="1"/>
    <col min="3" max="3" width="9" bestFit="1" customWidth="1"/>
    <col min="4" max="4" width="10.69921875" bestFit="1" customWidth="1"/>
    <col min="5" max="5" width="10.69921875" style="129" bestFit="1" customWidth="1"/>
    <col min="6" max="6" width="8.69921875" style="132" customWidth="1"/>
    <col min="7" max="7" width="13" style="131" customWidth="1"/>
    <col min="11" max="11" width="2.09765625" customWidth="1"/>
    <col min="12" max="12" width="7.09765625" customWidth="1"/>
  </cols>
  <sheetData>
    <row r="1" spans="1:18" ht="22.8" thickBot="1">
      <c r="A1" s="130" t="s">
        <v>154</v>
      </c>
      <c r="D1" s="129"/>
      <c r="E1" s="132"/>
      <c r="F1" s="131"/>
      <c r="G1"/>
      <c r="Q1" s="193" t="s">
        <v>36</v>
      </c>
      <c r="R1" t="s">
        <v>155</v>
      </c>
    </row>
    <row r="2" spans="1:18">
      <c r="A2" s="131" t="s">
        <v>156</v>
      </c>
      <c r="D2" s="129"/>
      <c r="E2" s="132"/>
      <c r="F2" s="131"/>
      <c r="G2"/>
      <c r="Q2" t="s">
        <v>157</v>
      </c>
      <c r="R2" t="s">
        <v>66</v>
      </c>
    </row>
    <row r="3" spans="1:18">
      <c r="A3" s="135" t="s">
        <v>157</v>
      </c>
      <c r="B3" s="136" t="s">
        <v>66</v>
      </c>
      <c r="C3" s="136" t="s">
        <v>158</v>
      </c>
      <c r="D3" s="136" t="s">
        <v>159</v>
      </c>
      <c r="E3" s="137" t="s">
        <v>160</v>
      </c>
      <c r="F3" s="136" t="s">
        <v>161</v>
      </c>
      <c r="G3"/>
      <c r="Q3" t="s">
        <v>47</v>
      </c>
      <c r="R3" t="str" cm="1">
        <f t="array" ref="R3:R43">_xlfn.UNIQUE(管理シート[氏名])</f>
        <v>農家１</v>
      </c>
    </row>
    <row r="4" spans="1:18">
      <c r="A4" s="141" t="s">
        <v>47</v>
      </c>
      <c r="B4" s="175" t="s">
        <v>358</v>
      </c>
      <c r="C4" s="145"/>
      <c r="D4" s="138" t="s">
        <v>37</v>
      </c>
      <c r="E4" s="139">
        <v>1000</v>
      </c>
      <c r="F4" s="200">
        <f>COUNTIFS($A$4:A4,A4,$B$4:B4,B4)</f>
        <v>1</v>
      </c>
      <c r="G4"/>
      <c r="Q4" t="s">
        <v>48</v>
      </c>
      <c r="R4" t="str">
        <v>農家２</v>
      </c>
    </row>
    <row r="5" spans="1:18">
      <c r="A5" s="141"/>
      <c r="B5" s="175"/>
      <c r="C5" s="145"/>
      <c r="D5" s="138"/>
      <c r="E5" s="139"/>
      <c r="F5" s="200">
        <f>COUNTIFS($A$4:A5,A5,$B$4:B5,B5)</f>
        <v>0</v>
      </c>
      <c r="G5"/>
      <c r="Q5" t="s">
        <v>164</v>
      </c>
      <c r="R5" t="str">
        <v>農家３</v>
      </c>
    </row>
    <row r="6" spans="1:18">
      <c r="A6" s="141"/>
      <c r="B6" s="175"/>
      <c r="C6" s="145"/>
      <c r="D6" s="138"/>
      <c r="E6" s="139"/>
      <c r="F6" s="200">
        <f>COUNTIFS($A$4:A6,A6,$B$4:B6,B6)</f>
        <v>0</v>
      </c>
      <c r="G6"/>
      <c r="Q6" t="s">
        <v>165</v>
      </c>
      <c r="R6" t="str">
        <v>農家４</v>
      </c>
    </row>
    <row r="7" spans="1:18">
      <c r="A7" s="141"/>
      <c r="B7" s="175"/>
      <c r="C7" s="145"/>
      <c r="D7" s="138"/>
      <c r="E7" s="139"/>
      <c r="F7" s="200">
        <f>COUNTIFS($A$4:A7,A7,$B$4:B7,B7)</f>
        <v>0</v>
      </c>
      <c r="G7"/>
      <c r="Q7" t="s">
        <v>167</v>
      </c>
      <c r="R7" t="str">
        <v>農家５</v>
      </c>
    </row>
    <row r="8" spans="1:18">
      <c r="A8" s="141"/>
      <c r="B8" s="175"/>
      <c r="C8" s="145"/>
      <c r="D8" s="138"/>
      <c r="E8" s="139"/>
      <c r="F8" s="200">
        <f>COUNTIFS($A$4:A8,A8,$B$4:B8,B8)</f>
        <v>0</v>
      </c>
      <c r="G8"/>
      <c r="Q8" t="s">
        <v>168</v>
      </c>
      <c r="R8" t="str">
        <v>農家６</v>
      </c>
    </row>
    <row r="9" spans="1:18">
      <c r="A9" s="141"/>
      <c r="B9" s="175"/>
      <c r="C9" s="145"/>
      <c r="D9" s="138"/>
      <c r="E9" s="139"/>
      <c r="F9" s="200">
        <f>COUNTIFS($A$4:A9,A9,$B$4:B9,B9)</f>
        <v>0</v>
      </c>
      <c r="G9"/>
      <c r="Q9" t="s">
        <v>169</v>
      </c>
      <c r="R9" t="str">
        <v>農家７</v>
      </c>
    </row>
    <row r="10" spans="1:18">
      <c r="A10" s="141"/>
      <c r="B10" s="175"/>
      <c r="C10" s="145"/>
      <c r="D10" s="138"/>
      <c r="E10" s="139"/>
      <c r="F10" s="200">
        <f>COUNTIFS($A$4:A10,A10,$B$4:B10,B10)</f>
        <v>0</v>
      </c>
      <c r="G10"/>
      <c r="Q10" t="s">
        <v>170</v>
      </c>
      <c r="R10" t="str">
        <v>農家８</v>
      </c>
    </row>
    <row r="11" spans="1:18">
      <c r="A11" s="141"/>
      <c r="B11" s="175"/>
      <c r="C11" s="145"/>
      <c r="D11" s="138"/>
      <c r="E11" s="139"/>
      <c r="F11" s="200">
        <f>COUNTIFS($A$4:A11,A11,$B$4:B11,B11)</f>
        <v>0</v>
      </c>
      <c r="G11"/>
      <c r="Q11" t="s">
        <v>171</v>
      </c>
      <c r="R11" t="str">
        <v>農家９</v>
      </c>
    </row>
    <row r="12" spans="1:18">
      <c r="A12" s="141"/>
      <c r="B12" s="175"/>
      <c r="C12" s="146"/>
      <c r="D12" s="138"/>
      <c r="E12" s="139"/>
      <c r="F12" s="200">
        <f>COUNTIFS($A$4:A12,A12,$B$4:B12,B12)</f>
        <v>0</v>
      </c>
      <c r="G12"/>
      <c r="R12" t="str">
        <v>農家１０</v>
      </c>
    </row>
    <row r="13" spans="1:18">
      <c r="A13" s="141"/>
      <c r="B13" s="175"/>
      <c r="C13" s="146"/>
      <c r="D13" s="138"/>
      <c r="E13" s="140"/>
      <c r="F13" s="200">
        <f>COUNTIFS($A$4:A13,A13,$B$4:B13,B13)</f>
        <v>0</v>
      </c>
      <c r="G13"/>
      <c r="R13" t="str">
        <v>農家１１</v>
      </c>
    </row>
    <row r="14" spans="1:18">
      <c r="A14" s="141"/>
      <c r="B14" s="175"/>
      <c r="C14" s="146"/>
      <c r="D14" s="138"/>
      <c r="E14" s="140"/>
      <c r="F14" s="200">
        <f>COUNTIFS($A$4:A14,A14,$B$4:B14,B14)</f>
        <v>0</v>
      </c>
      <c r="G14"/>
      <c r="R14" t="str">
        <v>農家１２</v>
      </c>
    </row>
    <row r="15" spans="1:18">
      <c r="A15" s="141"/>
      <c r="B15" s="175"/>
      <c r="C15" s="145"/>
      <c r="D15" s="138"/>
      <c r="E15" s="264"/>
      <c r="F15" s="200">
        <f>COUNTIFS($A$4:A15,A15,$B$4:B15,B15)</f>
        <v>0</v>
      </c>
      <c r="R15" t="str">
        <v>農家１３</v>
      </c>
    </row>
    <row r="16" spans="1:18">
      <c r="A16" s="141"/>
      <c r="B16" s="175"/>
      <c r="C16" s="145"/>
      <c r="D16" s="138"/>
      <c r="E16" s="264"/>
      <c r="F16" s="200">
        <f>COUNTIFS($A$4:A16,A16,$B$4:B16,B16)</f>
        <v>0</v>
      </c>
      <c r="R16" t="str">
        <v>農家１４</v>
      </c>
    </row>
    <row r="17" spans="1:18">
      <c r="A17" s="141"/>
      <c r="B17" s="175"/>
      <c r="C17" s="145"/>
      <c r="D17" s="138"/>
      <c r="E17" s="264"/>
      <c r="F17" s="200">
        <f>COUNTIFS($A$4:A17,A17,$B$4:B17,B17)</f>
        <v>0</v>
      </c>
      <c r="R17" t="str">
        <v>農家１５</v>
      </c>
    </row>
    <row r="18" spans="1:18">
      <c r="A18" s="141"/>
      <c r="B18" s="175"/>
      <c r="C18" s="145"/>
      <c r="D18" s="138"/>
      <c r="E18" s="264"/>
      <c r="F18" s="200">
        <f>COUNTIFS($A$4:A18,A18,$B$4:B18,B18)</f>
        <v>0</v>
      </c>
      <c r="R18" t="str">
        <v>農家１６</v>
      </c>
    </row>
    <row r="19" spans="1:18">
      <c r="A19" s="141"/>
      <c r="B19" s="175"/>
      <c r="C19" s="145"/>
      <c r="D19" s="138"/>
      <c r="E19" s="264"/>
      <c r="F19" s="200">
        <f>COUNTIFS($A$4:A19,A19,$B$4:B19,B19)</f>
        <v>0</v>
      </c>
      <c r="R19" t="str">
        <v>農家１７</v>
      </c>
    </row>
    <row r="20" spans="1:18">
      <c r="A20" s="141"/>
      <c r="B20" s="175"/>
      <c r="C20" s="145"/>
      <c r="D20" s="138"/>
      <c r="E20" s="264"/>
      <c r="F20" s="200">
        <f>COUNTIFS($A$4:A20,A20,$B$4:B20,B20)</f>
        <v>0</v>
      </c>
      <c r="R20" t="str">
        <v>農家１８</v>
      </c>
    </row>
    <row r="21" spans="1:18">
      <c r="A21" s="141"/>
      <c r="B21" s="175"/>
      <c r="C21" s="145"/>
      <c r="D21" s="138"/>
      <c r="E21" s="264"/>
      <c r="F21" s="200">
        <f>COUNTIFS($A$4:A21,A21,$B$4:B21,B21)</f>
        <v>0</v>
      </c>
      <c r="R21" t="str">
        <v>農家１９</v>
      </c>
    </row>
    <row r="22" spans="1:18">
      <c r="A22" s="141"/>
      <c r="B22" s="175"/>
      <c r="C22" s="145"/>
      <c r="D22" s="138"/>
      <c r="E22" s="264"/>
      <c r="F22" s="200">
        <f>COUNTIFS($A$4:A22,A22,$B$4:B22,B22)</f>
        <v>0</v>
      </c>
      <c r="R22" t="str">
        <v>農家２０</v>
      </c>
    </row>
    <row r="23" spans="1:18">
      <c r="A23" s="141"/>
      <c r="B23" s="175"/>
      <c r="C23" s="145"/>
      <c r="D23" s="138"/>
      <c r="E23" s="264"/>
      <c r="F23" s="200">
        <f>COUNTIFS($A$4:A23,A23,$B$4:B23,B23)</f>
        <v>0</v>
      </c>
      <c r="R23" t="str">
        <v>農家２１</v>
      </c>
    </row>
    <row r="24" spans="1:18">
      <c r="R24" t="str">
        <v>農家２２</v>
      </c>
    </row>
    <row r="25" spans="1:18">
      <c r="R25" t="str">
        <v>農家２３</v>
      </c>
    </row>
    <row r="26" spans="1:18">
      <c r="R26" t="str">
        <v>農家２４</v>
      </c>
    </row>
    <row r="27" spans="1:18">
      <c r="R27" t="str">
        <v>農家２５</v>
      </c>
    </row>
    <row r="28" spans="1:18">
      <c r="R28" t="str">
        <v>農家２６</v>
      </c>
    </row>
    <row r="29" spans="1:18">
      <c r="R29" t="str">
        <v>農家２７</v>
      </c>
    </row>
    <row r="30" spans="1:18">
      <c r="R30" t="str">
        <v>農家２８</v>
      </c>
    </row>
    <row r="31" spans="1:18">
      <c r="R31" t="str">
        <v>農家２９</v>
      </c>
    </row>
    <row r="32" spans="1:18">
      <c r="R32" t="str">
        <v>農家３０</v>
      </c>
    </row>
    <row r="33" spans="18:18">
      <c r="R33" t="str">
        <v>農家３１</v>
      </c>
    </row>
    <row r="34" spans="18:18">
      <c r="R34" t="str">
        <v>農家３２</v>
      </c>
    </row>
    <row r="35" spans="18:18">
      <c r="R35" t="str">
        <v>農家３３</v>
      </c>
    </row>
    <row r="36" spans="18:18">
      <c r="R36" t="str">
        <v>農家３４</v>
      </c>
    </row>
    <row r="37" spans="18:18">
      <c r="R37" t="str">
        <v>農家３５</v>
      </c>
    </row>
    <row r="38" spans="18:18">
      <c r="R38" t="str">
        <v>農家３６</v>
      </c>
    </row>
    <row r="39" spans="18:18">
      <c r="R39" t="str">
        <v>農家３７</v>
      </c>
    </row>
    <row r="40" spans="18:18">
      <c r="R40" t="str">
        <v>農家３８</v>
      </c>
    </row>
    <row r="41" spans="18:18">
      <c r="R41" t="str">
        <v>農家３９</v>
      </c>
    </row>
    <row r="42" spans="18:18">
      <c r="R42" t="str">
        <v>農家４０</v>
      </c>
    </row>
    <row r="43" spans="18:18">
      <c r="R43" t="str">
        <v>農家４１</v>
      </c>
    </row>
  </sheetData>
  <phoneticPr fontId="6"/>
  <dataValidations count="2">
    <dataValidation type="list" allowBlank="1" showInputMessage="1" showErrorMessage="1" sqref="A4:A23" xr:uid="{7837AEFD-516D-4CBA-B4F3-3580E120B286}">
      <formula1>$Q$3:$Q$11</formula1>
    </dataValidation>
    <dataValidation type="list" allowBlank="1" showInputMessage="1" showErrorMessage="1" sqref="B4:B23" xr:uid="{135F636E-2DDE-4608-B267-CB9DB6F80AAE}">
      <formula1>_xlfn.ANCHORARRAY($R$3)</formula1>
    </dataValidation>
  </dataValidations>
  <pageMargins left="0.7" right="0.7" top="0.75" bottom="0.75" header="0.3" footer="0.3"/>
  <pageSetup paperSize="9" scale="81" orientation="portrait" r:id="rId1"/>
  <colBreaks count="1" manualBreakCount="1">
    <brk id="10" max="1048575" man="1"/>
  </colBreaks>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245570E-E67B-4B38-94B2-B4333C8B0214}">
          <x14:formula1>
            <xm:f>'管理シート（本体）'!$AI$4:$AI$7</xm:f>
          </x14:formula1>
          <xm:sqref>D4:D23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64FBB-BD7E-4249-882C-6FE05595FD2B}">
  <sheetPr>
    <tabColor rgb="FFFFCCFF"/>
  </sheetPr>
  <dimension ref="A1:E15"/>
  <sheetViews>
    <sheetView workbookViewId="0">
      <selection activeCell="A7" sqref="A7"/>
    </sheetView>
  </sheetViews>
  <sheetFormatPr defaultRowHeight="18"/>
  <cols>
    <col min="1" max="1" width="15.796875" bestFit="1" customWidth="1"/>
    <col min="2" max="2" width="7.09765625" bestFit="1" customWidth="1"/>
    <col min="3" max="3" width="8.69921875" bestFit="1" customWidth="1"/>
    <col min="4" max="5" width="6.19921875" bestFit="1" customWidth="1"/>
    <col min="6" max="6" width="6.296875" bestFit="1" customWidth="1"/>
  </cols>
  <sheetData>
    <row r="1" spans="1:5">
      <c r="A1" s="172" t="s">
        <v>172</v>
      </c>
      <c r="B1" t="s">
        <v>173</v>
      </c>
    </row>
    <row r="3" spans="1:5">
      <c r="A3" s="172" t="s">
        <v>174</v>
      </c>
      <c r="B3" s="172" t="s">
        <v>175</v>
      </c>
    </row>
    <row r="4" spans="1:5">
      <c r="A4" s="172" t="s">
        <v>176</v>
      </c>
      <c r="B4" t="s">
        <v>37</v>
      </c>
      <c r="C4" t="s">
        <v>43</v>
      </c>
      <c r="D4" t="s">
        <v>40</v>
      </c>
      <c r="E4" t="s">
        <v>177</v>
      </c>
    </row>
    <row r="5" spans="1:5">
      <c r="A5" s="131" t="s">
        <v>162</v>
      </c>
      <c r="B5" s="202">
        <v>3000</v>
      </c>
      <c r="C5" s="202"/>
      <c r="D5" s="202">
        <v>1000</v>
      </c>
      <c r="E5" s="202">
        <v>4000</v>
      </c>
    </row>
    <row r="6" spans="1:5">
      <c r="A6" s="173" t="s">
        <v>173</v>
      </c>
      <c r="B6" s="202"/>
      <c r="C6" s="202"/>
      <c r="D6" s="202"/>
      <c r="E6" s="202"/>
    </row>
    <row r="7" spans="1:5">
      <c r="A7" s="201">
        <v>1</v>
      </c>
      <c r="B7" s="202">
        <v>1000</v>
      </c>
      <c r="C7" s="202"/>
      <c r="D7" s="202"/>
      <c r="E7" s="202">
        <v>1000</v>
      </c>
    </row>
    <row r="8" spans="1:5">
      <c r="A8" s="201">
        <v>2</v>
      </c>
      <c r="B8" s="202">
        <v>2000</v>
      </c>
      <c r="C8" s="202"/>
      <c r="D8" s="202"/>
      <c r="E8" s="202">
        <v>2000</v>
      </c>
    </row>
    <row r="9" spans="1:5">
      <c r="A9" s="201">
        <v>3</v>
      </c>
      <c r="B9" s="202"/>
      <c r="C9" s="202"/>
      <c r="D9" s="202">
        <v>1000</v>
      </c>
      <c r="E9" s="202">
        <v>1000</v>
      </c>
    </row>
    <row r="10" spans="1:5">
      <c r="A10" s="131" t="s">
        <v>166</v>
      </c>
      <c r="B10" s="202">
        <v>1000</v>
      </c>
      <c r="C10" s="202">
        <v>3000</v>
      </c>
      <c r="D10" s="202">
        <v>500</v>
      </c>
      <c r="E10" s="202">
        <v>4500</v>
      </c>
    </row>
    <row r="11" spans="1:5">
      <c r="A11" s="173" t="s">
        <v>173</v>
      </c>
      <c r="B11" s="202"/>
      <c r="C11" s="202"/>
      <c r="D11" s="202"/>
      <c r="E11" s="202"/>
    </row>
    <row r="12" spans="1:5">
      <c r="A12" s="201">
        <v>1</v>
      </c>
      <c r="B12" s="202">
        <v>1000</v>
      </c>
      <c r="C12" s="202"/>
      <c r="D12" s="202"/>
      <c r="E12" s="202">
        <v>1000</v>
      </c>
    </row>
    <row r="13" spans="1:5">
      <c r="A13" s="201">
        <v>2</v>
      </c>
      <c r="B13" s="202"/>
      <c r="C13" s="202"/>
      <c r="D13" s="202">
        <v>500</v>
      </c>
      <c r="E13" s="202">
        <v>500</v>
      </c>
    </row>
    <row r="14" spans="1:5">
      <c r="A14" s="201">
        <v>3</v>
      </c>
      <c r="B14" s="202"/>
      <c r="C14" s="202">
        <v>3000</v>
      </c>
      <c r="D14" s="202"/>
      <c r="E14" s="202">
        <v>3000</v>
      </c>
    </row>
    <row r="15" spans="1:5">
      <c r="A15" s="131" t="s">
        <v>177</v>
      </c>
      <c r="B15" s="202">
        <v>4000</v>
      </c>
      <c r="C15" s="202">
        <v>3000</v>
      </c>
      <c r="D15" s="202">
        <v>1500</v>
      </c>
      <c r="E15" s="202">
        <v>8500</v>
      </c>
    </row>
  </sheetData>
  <phoneticPr fontId="6"/>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E9E85-5738-48E5-87A2-CF4C528507CD}">
  <sheetPr>
    <tabColor theme="7" tint="0.59999389629810485"/>
  </sheetPr>
  <dimension ref="A1:S67"/>
  <sheetViews>
    <sheetView view="pageBreakPreview" topLeftCell="A24" zoomScaleNormal="100" zoomScaleSheetLayoutView="100" workbookViewId="0">
      <selection activeCell="O7" sqref="O7"/>
    </sheetView>
  </sheetViews>
  <sheetFormatPr defaultColWidth="8.69921875" defaultRowHeight="13.2"/>
  <cols>
    <col min="1" max="1" width="5.09765625" style="148" customWidth="1"/>
    <col min="2" max="2" width="5.19921875" style="148" customWidth="1"/>
    <col min="3" max="3" width="12" style="148" customWidth="1"/>
    <col min="4" max="4" width="3.19921875" style="148" customWidth="1"/>
    <col min="5" max="8" width="9.59765625" style="148" customWidth="1"/>
    <col min="9" max="9" width="12.69921875" style="148" customWidth="1"/>
    <col min="10" max="16384" width="8.69921875" style="148"/>
  </cols>
  <sheetData>
    <row r="1" spans="1:12" ht="18" customHeight="1">
      <c r="A1" s="147" t="s">
        <v>178</v>
      </c>
      <c r="B1" s="147"/>
    </row>
    <row r="2" spans="1:12" ht="18" customHeight="1">
      <c r="B2" s="147"/>
      <c r="I2" s="149" t="s">
        <v>179</v>
      </c>
    </row>
    <row r="3" spans="1:12" ht="18" customHeight="1">
      <c r="B3" s="147"/>
      <c r="H3" s="370" t="s">
        <v>392</v>
      </c>
      <c r="I3" s="370"/>
    </row>
    <row r="4" spans="1:12" ht="18" customHeight="1">
      <c r="A4" s="147"/>
      <c r="B4" s="147"/>
    </row>
    <row r="5" spans="1:12" ht="18" customHeight="1">
      <c r="A5" s="150" t="s">
        <v>180</v>
      </c>
      <c r="B5" s="147"/>
    </row>
    <row r="6" spans="1:12" ht="18" customHeight="1">
      <c r="A6" s="147"/>
      <c r="B6" s="147"/>
    </row>
    <row r="7" spans="1:12" ht="16.95" customHeight="1">
      <c r="B7" s="147"/>
      <c r="F7" s="148" t="s">
        <v>181</v>
      </c>
    </row>
    <row r="8" spans="1:12" ht="16.95" customHeight="1">
      <c r="B8" s="147"/>
      <c r="F8" s="147" t="s">
        <v>315</v>
      </c>
      <c r="I8" s="266"/>
    </row>
    <row r="9" spans="1:12" ht="16.95" customHeight="1">
      <c r="B9" s="147"/>
      <c r="F9" s="383" t="s">
        <v>314</v>
      </c>
      <c r="G9" s="383"/>
      <c r="H9" s="383"/>
      <c r="I9" s="383"/>
    </row>
    <row r="10" spans="1:12" ht="16.95" customHeight="1">
      <c r="B10" s="147"/>
      <c r="F10" s="383"/>
      <c r="G10" s="383"/>
      <c r="H10" s="383"/>
      <c r="I10" s="383"/>
    </row>
    <row r="11" spans="1:12" ht="16.95" customHeight="1">
      <c r="B11" s="147"/>
      <c r="F11" s="265"/>
      <c r="G11" s="265"/>
      <c r="H11" s="147"/>
      <c r="I11" s="147"/>
    </row>
    <row r="12" spans="1:12" ht="18" customHeight="1" thickBot="1"/>
    <row r="13" spans="1:12" ht="18.600000000000001" thickBot="1">
      <c r="A13" s="382" t="str">
        <f>"令和8事業年度"&amp;K13&amp;"月施設園芸用燃料購入実績報告書"</f>
        <v>令和8事業年度10月施設園芸用燃料購入実績報告書</v>
      </c>
      <c r="B13" s="382"/>
      <c r="C13" s="382"/>
      <c r="D13" s="382"/>
      <c r="E13" s="382"/>
      <c r="F13" s="382"/>
      <c r="G13" s="382"/>
      <c r="H13" s="382"/>
      <c r="I13" s="382"/>
      <c r="K13" s="151">
        <v>10</v>
      </c>
      <c r="L13" s="148" t="s">
        <v>182</v>
      </c>
    </row>
    <row r="14" spans="1:12" ht="18" customHeight="1"/>
    <row r="15" spans="1:12" ht="14.4">
      <c r="A15" s="152" t="s">
        <v>183</v>
      </c>
      <c r="B15" s="152"/>
      <c r="C15" s="152"/>
      <c r="D15" s="152"/>
    </row>
    <row r="16" spans="1:12" ht="25.2" customHeight="1">
      <c r="A16" s="380" t="s">
        <v>184</v>
      </c>
      <c r="B16" s="380" t="s">
        <v>185</v>
      </c>
      <c r="C16" s="380"/>
      <c r="D16" s="380"/>
      <c r="E16" s="371" t="s">
        <v>186</v>
      </c>
      <c r="F16" s="371"/>
      <c r="G16" s="371"/>
      <c r="H16" s="371"/>
      <c r="I16" s="372" t="s">
        <v>187</v>
      </c>
    </row>
    <row r="17" spans="1:9" ht="25.2" customHeight="1">
      <c r="A17" s="381"/>
      <c r="B17" s="381"/>
      <c r="C17" s="381"/>
      <c r="D17" s="381"/>
      <c r="E17" s="164" t="s">
        <v>163</v>
      </c>
      <c r="F17" s="164" t="s">
        <v>132</v>
      </c>
      <c r="G17" s="164" t="s">
        <v>44</v>
      </c>
      <c r="H17" s="164" t="s">
        <v>46</v>
      </c>
      <c r="I17" s="372"/>
    </row>
    <row r="18" spans="1:9" ht="19.95" customHeight="1">
      <c r="A18" s="153">
        <v>1</v>
      </c>
      <c r="B18" s="363" t="str">
        <f>VLOOKUP($A18,管理シート[[農家No]:[氏名]],3,FALSE)</f>
        <v>農家１</v>
      </c>
      <c r="C18" s="364"/>
      <c r="D18" s="365"/>
      <c r="E18" s="165">
        <f>SUMIFS(INDEX(管理シート[[10月単価]:[6月補填金7]],0,VLOOKUP($K$13,$R$59:$S$67,2,FALSE)),管理シート[氏名],$B18,管理シート[燃料別],E$17)</f>
        <v>1000</v>
      </c>
      <c r="F18" s="165">
        <f>SUMIFS(INDEX(管理シート[[10月単価]:[6月補填金7]],0,VLOOKUP($K$13,$R$59:$S$67,2,FALSE)),管理シート[氏名],$B18,管理シート[燃料別],F$17)</f>
        <v>0</v>
      </c>
      <c r="G18" s="165">
        <f>SUMIFS(INDEX(管理シート[[10月単価]:[6月補填金7]],0,VLOOKUP($K$13,$R$59:$S$67,2,FALSE)),管理シート[氏名],$B18,管理シート[燃料別],G$17)</f>
        <v>0</v>
      </c>
      <c r="H18" s="165">
        <f>SUMIFS(INDEX(管理シート[[10月単価]:[6月補填金7]],0,VLOOKUP($K$13,$R$59:$S$67,2,FALSE)),管理シート[氏名],$B18,管理シート[燃料別],H$17)</f>
        <v>0</v>
      </c>
      <c r="I18" s="154"/>
    </row>
    <row r="19" spans="1:9" ht="19.95" customHeight="1">
      <c r="A19" s="153">
        <v>2</v>
      </c>
      <c r="B19" s="363" t="str">
        <f>VLOOKUP($A19,管理シート[[農家No]:[氏名]],3,FALSE)</f>
        <v>農家２</v>
      </c>
      <c r="C19" s="364"/>
      <c r="D19" s="365"/>
      <c r="E19" s="165">
        <f>SUMIFS(INDEX(管理シート[[10月単価]:[6月補填金7]],0,VLOOKUP($K$13,$R$59:$S$67,2,FALSE)),管理シート[氏名],$B19,管理シート[燃料別],E$17)</f>
        <v>0</v>
      </c>
      <c r="F19" s="165">
        <f>SUMIFS(INDEX(管理シート[[10月単価]:[6月補填金7]],0,VLOOKUP($K$13,$R$59:$S$67,2,FALSE)),管理シート[氏名],$B19,管理シート[燃料別],F$17)</f>
        <v>0</v>
      </c>
      <c r="G19" s="165">
        <f>SUMIFS(INDEX(管理シート[[10月単価]:[6月補填金7]],0,VLOOKUP($K$13,$R$59:$S$67,2,FALSE)),管理シート[氏名],$B19,管理シート[燃料別],G$17)</f>
        <v>0</v>
      </c>
      <c r="H19" s="165">
        <f>SUMIFS(INDEX(管理シート[[10月単価]:[6月補填金7]],0,VLOOKUP($K$13,$R$59:$S$67,2,FALSE)),管理シート[氏名],$B19,管理シート[燃料別],H$17)</f>
        <v>0</v>
      </c>
      <c r="I19" s="154"/>
    </row>
    <row r="20" spans="1:9" ht="19.95" customHeight="1">
      <c r="A20" s="153">
        <v>3</v>
      </c>
      <c r="B20" s="363" t="str">
        <f>VLOOKUP($A20,管理シート[[農家No]:[氏名]],3,FALSE)</f>
        <v>農家３</v>
      </c>
      <c r="C20" s="364"/>
      <c r="D20" s="365"/>
      <c r="E20" s="165">
        <f>SUMIFS(INDEX(管理シート[[10月単価]:[6月補填金7]],0,VLOOKUP($K$13,$R$59:$S$67,2,FALSE)),管理シート[氏名],$B20,管理シート[燃料別],E$17)</f>
        <v>0</v>
      </c>
      <c r="F20" s="165">
        <f>SUMIFS(INDEX(管理シート[[10月単価]:[6月補填金7]],0,VLOOKUP($K$13,$R$59:$S$67,2,FALSE)),管理シート[氏名],$B20,管理シート[燃料別],F$17)</f>
        <v>0</v>
      </c>
      <c r="G20" s="165">
        <f>SUMIFS(INDEX(管理シート[[10月単価]:[6月補填金7]],0,VLOOKUP($K$13,$R$59:$S$67,2,FALSE)),管理シート[氏名],$B20,管理シート[燃料別],G$17)</f>
        <v>0</v>
      </c>
      <c r="H20" s="165">
        <f>SUMIFS(INDEX(管理シート[[10月単価]:[6月補填金7]],0,VLOOKUP($K$13,$R$59:$S$67,2,FALSE)),管理シート[氏名],$B20,管理シート[燃料別],H$17)</f>
        <v>0</v>
      </c>
      <c r="I20" s="154"/>
    </row>
    <row r="21" spans="1:9" ht="19.95" customHeight="1">
      <c r="A21" s="153">
        <v>4</v>
      </c>
      <c r="B21" s="363" t="str">
        <f>VLOOKUP($A21,管理シート[[農家No]:[氏名]],3,FALSE)</f>
        <v>農家４</v>
      </c>
      <c r="C21" s="364"/>
      <c r="D21" s="365"/>
      <c r="E21" s="165">
        <f>SUMIFS(INDEX(管理シート[[10月単価]:[6月補填金7]],0,VLOOKUP($K$13,$R$59:$S$67,2,FALSE)),管理シート[氏名],$B21,管理シート[燃料別],E$17)</f>
        <v>0</v>
      </c>
      <c r="F21" s="165">
        <f>SUMIFS(INDEX(管理シート[[10月単価]:[6月補填金7]],0,VLOOKUP($K$13,$R$59:$S$67,2,FALSE)),管理シート[氏名],$B21,管理シート[燃料別],F$17)</f>
        <v>0</v>
      </c>
      <c r="G21" s="165">
        <f>SUMIFS(INDEX(管理シート[[10月単価]:[6月補填金7]],0,VLOOKUP($K$13,$R$59:$S$67,2,FALSE)),管理シート[氏名],$B21,管理シート[燃料別],G$17)</f>
        <v>0</v>
      </c>
      <c r="H21" s="165">
        <f>SUMIFS(INDEX(管理シート[[10月単価]:[6月補填金7]],0,VLOOKUP($K$13,$R$59:$S$67,2,FALSE)),管理シート[氏名],$B21,管理シート[燃料別],H$17)</f>
        <v>0</v>
      </c>
      <c r="I21" s="154"/>
    </row>
    <row r="22" spans="1:9" ht="19.95" customHeight="1">
      <c r="A22" s="153">
        <v>5</v>
      </c>
      <c r="B22" s="363" t="str">
        <f>VLOOKUP($A22,管理シート[[農家No]:[氏名]],3,FALSE)</f>
        <v>農家５</v>
      </c>
      <c r="C22" s="364"/>
      <c r="D22" s="365"/>
      <c r="E22" s="165">
        <f>SUMIFS(INDEX(管理シート[[10月単価]:[6月補填金7]],0,VLOOKUP($K$13,$R$59:$S$67,2,FALSE)),管理シート[氏名],$B22,管理シート[燃料別],E$17)</f>
        <v>0</v>
      </c>
      <c r="F22" s="165">
        <f>SUMIFS(INDEX(管理シート[[10月単価]:[6月補填金7]],0,VLOOKUP($K$13,$R$59:$S$67,2,FALSE)),管理シート[氏名],$B22,管理シート[燃料別],F$17)</f>
        <v>0</v>
      </c>
      <c r="G22" s="165">
        <f>SUMIFS(INDEX(管理シート[[10月単価]:[6月補填金7]],0,VLOOKUP($K$13,$R$59:$S$67,2,FALSE)),管理シート[氏名],$B22,管理シート[燃料別],G$17)</f>
        <v>0</v>
      </c>
      <c r="H22" s="165">
        <f>SUMIFS(INDEX(管理シート[[10月単価]:[6月補填金7]],0,VLOOKUP($K$13,$R$59:$S$67,2,FALSE)),管理シート[氏名],$B22,管理シート[燃料別],H$17)</f>
        <v>0</v>
      </c>
      <c r="I22" s="154"/>
    </row>
    <row r="23" spans="1:9" ht="19.95" customHeight="1">
      <c r="A23" s="153">
        <v>6</v>
      </c>
      <c r="B23" s="363" t="str">
        <f>VLOOKUP($A23,管理シート[[農家No]:[氏名]],3,FALSE)</f>
        <v>農家６</v>
      </c>
      <c r="C23" s="364"/>
      <c r="D23" s="365"/>
      <c r="E23" s="165">
        <f>SUMIFS(INDEX(管理シート[[10月単価]:[6月補填金7]],0,VLOOKUP($K$13,$R$59:$S$67,2,FALSE)),管理シート[氏名],$B23,管理シート[燃料別],E$17)</f>
        <v>0</v>
      </c>
      <c r="F23" s="165">
        <f>SUMIFS(INDEX(管理シート[[10月単価]:[6月補填金7]],0,VLOOKUP($K$13,$R$59:$S$67,2,FALSE)),管理シート[氏名],$B23,管理シート[燃料別],F$17)</f>
        <v>0</v>
      </c>
      <c r="G23" s="165">
        <f>SUMIFS(INDEX(管理シート[[10月単価]:[6月補填金7]],0,VLOOKUP($K$13,$R$59:$S$67,2,FALSE)),管理シート[氏名],$B23,管理シート[燃料別],G$17)</f>
        <v>0</v>
      </c>
      <c r="H23" s="165">
        <f>SUMIFS(INDEX(管理シート[[10月単価]:[6月補填金7]],0,VLOOKUP($K$13,$R$59:$S$67,2,FALSE)),管理シート[氏名],$B23,管理シート[燃料別],H$17)</f>
        <v>0</v>
      </c>
      <c r="I23" s="154"/>
    </row>
    <row r="24" spans="1:9" ht="19.95" customHeight="1">
      <c r="A24" s="153">
        <v>7</v>
      </c>
      <c r="B24" s="363" t="str">
        <f>VLOOKUP($A24,管理シート[[農家No]:[氏名]],3,FALSE)</f>
        <v>農家７</v>
      </c>
      <c r="C24" s="364"/>
      <c r="D24" s="365"/>
      <c r="E24" s="165">
        <f>SUMIFS(INDEX(管理シート[[10月単価]:[6月補填金7]],0,VLOOKUP($K$13,$R$59:$S$67,2,FALSE)),管理シート[氏名],$B24,管理シート[燃料別],E$17)</f>
        <v>0</v>
      </c>
      <c r="F24" s="165">
        <f>SUMIFS(INDEX(管理シート[[10月単価]:[6月補填金7]],0,VLOOKUP($K$13,$R$59:$S$67,2,FALSE)),管理シート[氏名],$B24,管理シート[燃料別],F$17)</f>
        <v>0</v>
      </c>
      <c r="G24" s="165">
        <f>SUMIFS(INDEX(管理シート[[10月単価]:[6月補填金7]],0,VLOOKUP($K$13,$R$59:$S$67,2,FALSE)),管理シート[氏名],$B24,管理シート[燃料別],G$17)</f>
        <v>0</v>
      </c>
      <c r="H24" s="165">
        <f>SUMIFS(INDEX(管理シート[[10月単価]:[6月補填金7]],0,VLOOKUP($K$13,$R$59:$S$67,2,FALSE)),管理シート[氏名],$B24,管理シート[燃料別],H$17)</f>
        <v>0</v>
      </c>
      <c r="I24" s="154"/>
    </row>
    <row r="25" spans="1:9" ht="19.95" customHeight="1">
      <c r="A25" s="153">
        <v>8</v>
      </c>
      <c r="B25" s="363" t="str">
        <f>VLOOKUP($A25,管理シート[[農家No]:[氏名]],3,FALSE)</f>
        <v>農家８</v>
      </c>
      <c r="C25" s="364"/>
      <c r="D25" s="365"/>
      <c r="E25" s="165">
        <f>SUMIFS(INDEX(管理シート[[10月単価]:[6月補填金7]],0,VLOOKUP($K$13,$R$59:$S$67,2,FALSE)),管理シート[氏名],$B25,管理シート[燃料別],E$17)</f>
        <v>0</v>
      </c>
      <c r="F25" s="165">
        <f>SUMIFS(INDEX(管理シート[[10月単価]:[6月補填金7]],0,VLOOKUP($K$13,$R$59:$S$67,2,FALSE)),管理シート[氏名],$B25,管理シート[燃料別],F$17)</f>
        <v>0</v>
      </c>
      <c r="G25" s="165">
        <f>SUMIFS(INDEX(管理シート[[10月単価]:[6月補填金7]],0,VLOOKUP($K$13,$R$59:$S$67,2,FALSE)),管理シート[氏名],$B25,管理シート[燃料別],G$17)</f>
        <v>0</v>
      </c>
      <c r="H25" s="165">
        <f>SUMIFS(INDEX(管理シート[[10月単価]:[6月補填金7]],0,VLOOKUP($K$13,$R$59:$S$67,2,FALSE)),管理シート[氏名],$B25,管理シート[燃料別],H$17)</f>
        <v>0</v>
      </c>
      <c r="I25" s="154"/>
    </row>
    <row r="26" spans="1:9" ht="19.95" customHeight="1">
      <c r="A26" s="153">
        <v>9</v>
      </c>
      <c r="B26" s="363" t="str">
        <f>VLOOKUP($A26,管理シート[[農家No]:[氏名]],3,FALSE)</f>
        <v>農家９</v>
      </c>
      <c r="C26" s="364"/>
      <c r="D26" s="365"/>
      <c r="E26" s="165">
        <f>SUMIFS(INDEX(管理シート[[10月単価]:[6月補填金7]],0,VLOOKUP($K$13,$R$59:$S$67,2,FALSE)),管理シート[氏名],$B26,管理シート[燃料別],E$17)</f>
        <v>0</v>
      </c>
      <c r="F26" s="165">
        <f>SUMIFS(INDEX(管理シート[[10月単価]:[6月補填金7]],0,VLOOKUP($K$13,$R$59:$S$67,2,FALSE)),管理シート[氏名],$B26,管理シート[燃料別],F$17)</f>
        <v>0</v>
      </c>
      <c r="G26" s="165">
        <f>SUMIFS(INDEX(管理シート[[10月単価]:[6月補填金7]],0,VLOOKUP($K$13,$R$59:$S$67,2,FALSE)),管理シート[氏名],$B26,管理シート[燃料別],G$17)</f>
        <v>0</v>
      </c>
      <c r="H26" s="165">
        <f>SUMIFS(INDEX(管理シート[[10月単価]:[6月補填金7]],0,VLOOKUP($K$13,$R$59:$S$67,2,FALSE)),管理シート[氏名],$B26,管理シート[燃料別],H$17)</f>
        <v>0</v>
      </c>
      <c r="I26" s="154"/>
    </row>
    <row r="27" spans="1:9" ht="19.95" customHeight="1">
      <c r="A27" s="153">
        <v>10</v>
      </c>
      <c r="B27" s="363" t="str">
        <f>VLOOKUP($A27,管理シート[[農家No]:[氏名]],3,FALSE)</f>
        <v>農家１０</v>
      </c>
      <c r="C27" s="364"/>
      <c r="D27" s="365"/>
      <c r="E27" s="165">
        <f>SUMIFS(INDEX(管理シート[[10月単価]:[6月補填金7]],0,VLOOKUP($K$13,$R$59:$S$67,2,FALSE)),管理シート[氏名],$B27,管理シート[燃料別],E$17)</f>
        <v>0</v>
      </c>
      <c r="F27" s="165">
        <f>SUMIFS(INDEX(管理シート[[10月単価]:[6月補填金7]],0,VLOOKUP($K$13,$R$59:$S$67,2,FALSE)),管理シート[氏名],$B27,管理シート[燃料別],F$17)</f>
        <v>0</v>
      </c>
      <c r="G27" s="165">
        <f>SUMIFS(INDEX(管理シート[[10月単価]:[6月補填金7]],0,VLOOKUP($K$13,$R$59:$S$67,2,FALSE)),管理シート[氏名],$B27,管理シート[燃料別],G$17)</f>
        <v>0</v>
      </c>
      <c r="H27" s="165">
        <f>SUMIFS(INDEX(管理シート[[10月単価]:[6月補填金7]],0,VLOOKUP($K$13,$R$59:$S$67,2,FALSE)),管理シート[氏名],$B27,管理シート[燃料別],H$17)</f>
        <v>0</v>
      </c>
      <c r="I27" s="154"/>
    </row>
    <row r="28" spans="1:9" ht="19.95" customHeight="1">
      <c r="A28" s="153">
        <v>11</v>
      </c>
      <c r="B28" s="363" t="str">
        <f>VLOOKUP($A28,管理シート[[農家No]:[氏名]],3,FALSE)</f>
        <v>農家１１</v>
      </c>
      <c r="C28" s="364"/>
      <c r="D28" s="365"/>
      <c r="E28" s="165">
        <f>SUMIFS(INDEX(管理シート[[10月単価]:[6月補填金7]],0,VLOOKUP($K$13,$R$59:$S$67,2,FALSE)),管理シート[氏名],$B28,管理シート[燃料別],E$17)</f>
        <v>0</v>
      </c>
      <c r="F28" s="165">
        <f>SUMIFS(INDEX(管理シート[[10月単価]:[6月補填金7]],0,VLOOKUP($K$13,$R$59:$S$67,2,FALSE)),管理シート[氏名],$B28,管理シート[燃料別],F$17)</f>
        <v>0</v>
      </c>
      <c r="G28" s="165">
        <f>SUMIFS(INDEX(管理シート[[10月単価]:[6月補填金7]],0,VLOOKUP($K$13,$R$59:$S$67,2,FALSE)),管理シート[氏名],$B28,管理シート[燃料別],G$17)</f>
        <v>0</v>
      </c>
      <c r="H28" s="165">
        <f>SUMIFS(INDEX(管理シート[[10月単価]:[6月補填金7]],0,VLOOKUP($K$13,$R$59:$S$67,2,FALSE)),管理シート[氏名],$B28,管理シート[燃料別],H$17)</f>
        <v>0</v>
      </c>
      <c r="I28" s="154"/>
    </row>
    <row r="29" spans="1:9" ht="19.95" customHeight="1">
      <c r="A29" s="153">
        <v>12</v>
      </c>
      <c r="B29" s="363" t="str">
        <f>VLOOKUP($A29,管理シート[[農家No]:[氏名]],3,FALSE)</f>
        <v>農家１２</v>
      </c>
      <c r="C29" s="364"/>
      <c r="D29" s="365"/>
      <c r="E29" s="165">
        <f>SUMIFS(INDEX(管理シート[[10月単価]:[6月補填金7]],0,VLOOKUP($K$13,$R$59:$S$67,2,FALSE)),管理シート[氏名],$B29,管理シート[燃料別],E$17)</f>
        <v>0</v>
      </c>
      <c r="F29" s="165">
        <f>SUMIFS(INDEX(管理シート[[10月単価]:[6月補填金7]],0,VLOOKUP($K$13,$R$59:$S$67,2,FALSE)),管理シート[氏名],$B29,管理シート[燃料別],F$17)</f>
        <v>0</v>
      </c>
      <c r="G29" s="165">
        <f>SUMIFS(INDEX(管理シート[[10月単価]:[6月補填金7]],0,VLOOKUP($K$13,$R$59:$S$67,2,FALSE)),管理シート[氏名],$B29,管理シート[燃料別],G$17)</f>
        <v>0</v>
      </c>
      <c r="H29" s="165">
        <f>SUMIFS(INDEX(管理シート[[10月単価]:[6月補填金7]],0,VLOOKUP($K$13,$R$59:$S$67,2,FALSE)),管理シート[氏名],$B29,管理シート[燃料別],H$17)</f>
        <v>0</v>
      </c>
      <c r="I29" s="154"/>
    </row>
    <row r="30" spans="1:9" ht="19.95" customHeight="1">
      <c r="A30" s="153">
        <v>13</v>
      </c>
      <c r="B30" s="363" t="str">
        <f>VLOOKUP($A30,管理シート[[農家No]:[氏名]],3,FALSE)</f>
        <v>農家１３</v>
      </c>
      <c r="C30" s="364"/>
      <c r="D30" s="365"/>
      <c r="E30" s="165">
        <f>SUMIFS(INDEX(管理シート[[10月単価]:[6月補填金7]],0,VLOOKUP($K$13,$R$59:$S$67,2,FALSE)),管理シート[氏名],$B30,管理シート[燃料別],E$17)</f>
        <v>0</v>
      </c>
      <c r="F30" s="165">
        <f>SUMIFS(INDEX(管理シート[[10月単価]:[6月補填金7]],0,VLOOKUP($K$13,$R$59:$S$67,2,FALSE)),管理シート[氏名],$B30,管理シート[燃料別],F$17)</f>
        <v>0</v>
      </c>
      <c r="G30" s="165">
        <f>SUMIFS(INDEX(管理シート[[10月単価]:[6月補填金7]],0,VLOOKUP($K$13,$R$59:$S$67,2,FALSE)),管理シート[氏名],$B30,管理シート[燃料別],G$17)</f>
        <v>0</v>
      </c>
      <c r="H30" s="165">
        <f>SUMIFS(INDEX(管理シート[[10月単価]:[6月補填金7]],0,VLOOKUP($K$13,$R$59:$S$67,2,FALSE)),管理シート[氏名],$B30,管理シート[燃料別],H$17)</f>
        <v>0</v>
      </c>
      <c r="I30" s="154"/>
    </row>
    <row r="31" spans="1:9" ht="19.95" customHeight="1">
      <c r="A31" s="153">
        <v>14</v>
      </c>
      <c r="B31" s="363" t="str">
        <f>VLOOKUP($A31,管理シート[[農家No]:[氏名]],3,FALSE)</f>
        <v>農家１４</v>
      </c>
      <c r="C31" s="364"/>
      <c r="D31" s="365"/>
      <c r="E31" s="165">
        <f>SUMIFS(INDEX(管理シート[[10月単価]:[6月補填金7]],0,VLOOKUP($K$13,$R$59:$S$67,2,FALSE)),管理シート[氏名],$B31,管理シート[燃料別],E$17)</f>
        <v>0</v>
      </c>
      <c r="F31" s="165">
        <f>SUMIFS(INDEX(管理シート[[10月単価]:[6月補填金7]],0,VLOOKUP($K$13,$R$59:$S$67,2,FALSE)),管理シート[氏名],$B31,管理シート[燃料別],F$17)</f>
        <v>0</v>
      </c>
      <c r="G31" s="165">
        <f>SUMIFS(INDEX(管理シート[[10月単価]:[6月補填金7]],0,VLOOKUP($K$13,$R$59:$S$67,2,FALSE)),管理シート[氏名],$B31,管理シート[燃料別],G$17)</f>
        <v>0</v>
      </c>
      <c r="H31" s="165">
        <f>SUMIFS(INDEX(管理シート[[10月単価]:[6月補填金7]],0,VLOOKUP($K$13,$R$59:$S$67,2,FALSE)),管理シート[氏名],$B31,管理シート[燃料別],H$17)</f>
        <v>0</v>
      </c>
      <c r="I31" s="154"/>
    </row>
    <row r="32" spans="1:9" ht="19.95" customHeight="1">
      <c r="A32" s="153">
        <v>15</v>
      </c>
      <c r="B32" s="363" t="str">
        <f>VLOOKUP($A32,管理シート[[農家No]:[氏名]],3,FALSE)</f>
        <v>農家１５</v>
      </c>
      <c r="C32" s="364"/>
      <c r="D32" s="365"/>
      <c r="E32" s="165">
        <f>SUMIFS(INDEX(管理シート[[10月単価]:[6月補填金7]],0,VLOOKUP($K$13,$R$59:$S$67,2,FALSE)),管理シート[氏名],$B32,管理シート[燃料別],E$17)</f>
        <v>0</v>
      </c>
      <c r="F32" s="165">
        <f>SUMIFS(INDEX(管理シート[[10月単価]:[6月補填金7]],0,VLOOKUP($K$13,$R$59:$S$67,2,FALSE)),管理シート[氏名],$B32,管理シート[燃料別],F$17)</f>
        <v>0</v>
      </c>
      <c r="G32" s="165">
        <f>SUMIFS(INDEX(管理シート[[10月単価]:[6月補填金7]],0,VLOOKUP($K$13,$R$59:$S$67,2,FALSE)),管理シート[氏名],$B32,管理シート[燃料別],G$17)</f>
        <v>0</v>
      </c>
      <c r="H32" s="165">
        <f>SUMIFS(INDEX(管理シート[[10月単価]:[6月補填金7]],0,VLOOKUP($K$13,$R$59:$S$67,2,FALSE)),管理シート[氏名],$B32,管理シート[燃料別],H$17)</f>
        <v>0</v>
      </c>
      <c r="I32" s="154"/>
    </row>
    <row r="33" spans="1:9" ht="19.95" customHeight="1">
      <c r="A33" s="153">
        <v>16</v>
      </c>
      <c r="B33" s="363" t="str">
        <f>VLOOKUP($A33,管理シート[[農家No]:[氏名]],3,FALSE)</f>
        <v>農家１６</v>
      </c>
      <c r="C33" s="364"/>
      <c r="D33" s="365"/>
      <c r="E33" s="165">
        <f>SUMIFS(INDEX(管理シート[[10月単価]:[6月補填金7]],0,VLOOKUP($K$13,$R$59:$S$67,2,FALSE)),管理シート[氏名],$B33,管理シート[燃料別],E$17)</f>
        <v>0</v>
      </c>
      <c r="F33" s="165">
        <f>SUMIFS(INDEX(管理シート[[10月単価]:[6月補填金7]],0,VLOOKUP($K$13,$R$59:$S$67,2,FALSE)),管理シート[氏名],$B33,管理シート[燃料別],F$17)</f>
        <v>0</v>
      </c>
      <c r="G33" s="165">
        <f>SUMIFS(INDEX(管理シート[[10月単価]:[6月補填金7]],0,VLOOKUP($K$13,$R$59:$S$67,2,FALSE)),管理シート[氏名],$B33,管理シート[燃料別],G$17)</f>
        <v>0</v>
      </c>
      <c r="H33" s="165">
        <f>SUMIFS(INDEX(管理シート[[10月単価]:[6月補填金7]],0,VLOOKUP($K$13,$R$59:$S$67,2,FALSE)),管理シート[氏名],$B33,管理シート[燃料別],H$17)</f>
        <v>0</v>
      </c>
      <c r="I33" s="154"/>
    </row>
    <row r="34" spans="1:9" ht="19.95" customHeight="1">
      <c r="A34" s="153">
        <v>17</v>
      </c>
      <c r="B34" s="363" t="str">
        <f>VLOOKUP($A34,管理シート[[農家No]:[氏名]],3,FALSE)</f>
        <v>農家１７</v>
      </c>
      <c r="C34" s="364"/>
      <c r="D34" s="365"/>
      <c r="E34" s="165">
        <f>SUMIFS(INDEX(管理シート[[10月単価]:[6月補填金7]],0,VLOOKUP($K$13,$R$59:$S$67,2,FALSE)),管理シート[氏名],$B34,管理シート[燃料別],E$17)</f>
        <v>0</v>
      </c>
      <c r="F34" s="165">
        <f>SUMIFS(INDEX(管理シート[[10月単価]:[6月補填金7]],0,VLOOKUP($K$13,$R$59:$S$67,2,FALSE)),管理シート[氏名],$B34,管理シート[燃料別],F$17)</f>
        <v>0</v>
      </c>
      <c r="G34" s="165">
        <f>SUMIFS(INDEX(管理シート[[10月単価]:[6月補填金7]],0,VLOOKUP($K$13,$R$59:$S$67,2,FALSE)),管理シート[氏名],$B34,管理シート[燃料別],G$17)</f>
        <v>0</v>
      </c>
      <c r="H34" s="165">
        <f>SUMIFS(INDEX(管理シート[[10月単価]:[6月補填金7]],0,VLOOKUP($K$13,$R$59:$S$67,2,FALSE)),管理シート[氏名],$B34,管理シート[燃料別],H$17)</f>
        <v>0</v>
      </c>
      <c r="I34" s="154"/>
    </row>
    <row r="35" spans="1:9" ht="19.95" customHeight="1">
      <c r="A35" s="153">
        <v>18</v>
      </c>
      <c r="B35" s="363" t="str">
        <f>VLOOKUP($A35,管理シート[[農家No]:[氏名]],3,FALSE)</f>
        <v>農家１８</v>
      </c>
      <c r="C35" s="364"/>
      <c r="D35" s="365"/>
      <c r="E35" s="165">
        <f>SUMIFS(INDEX(管理シート[[10月単価]:[6月補填金7]],0,VLOOKUP($K$13,$R$59:$S$67,2,FALSE)),管理シート[氏名],$B35,管理シート[燃料別],E$17)</f>
        <v>0</v>
      </c>
      <c r="F35" s="165">
        <f>SUMIFS(INDEX(管理シート[[10月単価]:[6月補填金7]],0,VLOOKUP($K$13,$R$59:$S$67,2,FALSE)),管理シート[氏名],$B35,管理シート[燃料別],F$17)</f>
        <v>0</v>
      </c>
      <c r="G35" s="165">
        <f>SUMIFS(INDEX(管理シート[[10月単価]:[6月補填金7]],0,VLOOKUP($K$13,$R$59:$S$67,2,FALSE)),管理シート[氏名],$B35,管理シート[燃料別],G$17)</f>
        <v>0</v>
      </c>
      <c r="H35" s="165">
        <f>SUMIFS(INDEX(管理シート[[10月単価]:[6月補填金7]],0,VLOOKUP($K$13,$R$59:$S$67,2,FALSE)),管理シート[氏名],$B35,管理シート[燃料別],H$17)</f>
        <v>0</v>
      </c>
      <c r="I35" s="279"/>
    </row>
    <row r="36" spans="1:9" ht="19.95" customHeight="1">
      <c r="A36" s="153">
        <v>19</v>
      </c>
      <c r="B36" s="363" t="str">
        <f>VLOOKUP($A36,管理シート[[農家No]:[氏名]],3,FALSE)</f>
        <v>農家１９</v>
      </c>
      <c r="C36" s="364"/>
      <c r="D36" s="365"/>
      <c r="E36" s="165">
        <f>SUMIFS(INDEX(管理シート[[10月単価]:[6月補填金7]],0,VLOOKUP($K$13,$R$59:$S$67,2,FALSE)),管理シート[氏名],$B36,管理シート[燃料別],E$17)</f>
        <v>0</v>
      </c>
      <c r="F36" s="165">
        <f>SUMIFS(INDEX(管理シート[[10月単価]:[6月補填金7]],0,VLOOKUP($K$13,$R$59:$S$67,2,FALSE)),管理シート[氏名],$B36,管理シート[燃料別],F$17)</f>
        <v>0</v>
      </c>
      <c r="G36" s="165">
        <f>SUMIFS(INDEX(管理シート[[10月単価]:[6月補填金7]],0,VLOOKUP($K$13,$R$59:$S$67,2,FALSE)),管理シート[氏名],$B36,管理シート[燃料別],G$17)</f>
        <v>0</v>
      </c>
      <c r="H36" s="165">
        <f>SUMIFS(INDEX(管理シート[[10月単価]:[6月補填金7]],0,VLOOKUP($K$13,$R$59:$S$67,2,FALSE)),管理シート[氏名],$B36,管理シート[燃料別],H$17)</f>
        <v>0</v>
      </c>
      <c r="I36" s="279"/>
    </row>
    <row r="37" spans="1:9" ht="19.95" customHeight="1">
      <c r="A37" s="153">
        <v>20</v>
      </c>
      <c r="B37" s="363" t="str">
        <f>VLOOKUP($A37,管理シート[[農家No]:[氏名]],3,FALSE)</f>
        <v>農家２０</v>
      </c>
      <c r="C37" s="364"/>
      <c r="D37" s="365"/>
      <c r="E37" s="165">
        <f>SUMIFS(INDEX(管理シート[[10月単価]:[6月補填金7]],0,VLOOKUP($K$13,$R$59:$S$67,2,FALSE)),管理シート[氏名],$B37,管理シート[燃料別],E$17)</f>
        <v>0</v>
      </c>
      <c r="F37" s="165">
        <f>SUMIFS(INDEX(管理シート[[10月単価]:[6月補填金7]],0,VLOOKUP($K$13,$R$59:$S$67,2,FALSE)),管理シート[氏名],$B37,管理シート[燃料別],F$17)</f>
        <v>0</v>
      </c>
      <c r="G37" s="165">
        <f>SUMIFS(INDEX(管理シート[[10月単価]:[6月補填金7]],0,VLOOKUP($K$13,$R$59:$S$67,2,FALSE)),管理シート[氏名],$B37,管理シート[燃料別],G$17)</f>
        <v>0</v>
      </c>
      <c r="H37" s="165">
        <f>SUMIFS(INDEX(管理シート[[10月単価]:[6月補填金7]],0,VLOOKUP($K$13,$R$59:$S$67,2,FALSE)),管理シート[氏名],$B37,管理シート[燃料別],H$17)</f>
        <v>0</v>
      </c>
      <c r="I37" s="279"/>
    </row>
    <row r="38" spans="1:9" ht="19.95" customHeight="1">
      <c r="A38" s="153">
        <v>21</v>
      </c>
      <c r="B38" s="363" t="str">
        <f>VLOOKUP($A38,管理シート[[農家No]:[氏名]],3,FALSE)</f>
        <v>農家２１</v>
      </c>
      <c r="C38" s="364"/>
      <c r="D38" s="365"/>
      <c r="E38" s="165">
        <f>SUMIFS(INDEX(管理シート[[10月単価]:[6月補填金7]],0,VLOOKUP($K$13,$R$59:$S$67,2,FALSE)),管理シート[氏名],$B38,管理シート[燃料別],E$17)</f>
        <v>0</v>
      </c>
      <c r="F38" s="165">
        <f>SUMIFS(INDEX(管理シート[[10月単価]:[6月補填金7]],0,VLOOKUP($K$13,$R$59:$S$67,2,FALSE)),管理シート[氏名],$B38,管理シート[燃料別],F$17)</f>
        <v>0</v>
      </c>
      <c r="G38" s="165">
        <f>SUMIFS(INDEX(管理シート[[10月単価]:[6月補填金7]],0,VLOOKUP($K$13,$R$59:$S$67,2,FALSE)),管理シート[氏名],$B38,管理シート[燃料別],G$17)</f>
        <v>0</v>
      </c>
      <c r="H38" s="165">
        <f>SUMIFS(INDEX(管理シート[[10月単価]:[6月補填金7]],0,VLOOKUP($K$13,$R$59:$S$67,2,FALSE)),管理シート[氏名],$B38,管理シート[燃料別],H$17)</f>
        <v>0</v>
      </c>
      <c r="I38" s="279"/>
    </row>
    <row r="39" spans="1:9" ht="19.95" customHeight="1" thickBot="1">
      <c r="A39" s="169">
        <v>22</v>
      </c>
      <c r="B39" s="377" t="str">
        <f>VLOOKUP($A39,管理シート[[農家No]:[氏名]],3,FALSE)</f>
        <v>農家２２</v>
      </c>
      <c r="C39" s="378"/>
      <c r="D39" s="379"/>
      <c r="E39" s="170">
        <f>SUMIFS(INDEX(管理シート[[10月単価]:[6月補填金7]],0,VLOOKUP($K$13,$R$59:$S$67,2,FALSE)),管理シート[氏名],$B39,管理シート[燃料別],E$17)</f>
        <v>0</v>
      </c>
      <c r="F39" s="170">
        <f>SUMIFS(INDEX(管理シート[[10月単価]:[6月補填金7]],0,VLOOKUP($K$13,$R$59:$S$67,2,FALSE)),管理シート[氏名],$B39,管理シート[燃料別],F$17)</f>
        <v>0</v>
      </c>
      <c r="G39" s="170">
        <f>SUMIFS(INDEX(管理シート[[10月単価]:[6月補填金7]],0,VLOOKUP($K$13,$R$59:$S$67,2,FALSE)),管理シート[氏名],$B39,管理シート[燃料別],G$17)</f>
        <v>0</v>
      </c>
      <c r="H39" s="170">
        <f>SUMIFS(INDEX(管理シート[[10月単価]:[6月補填金7]],0,VLOOKUP($K$13,$R$59:$S$67,2,FALSE)),管理シート[氏名],$B39,管理シート[燃料別],H$17)</f>
        <v>0</v>
      </c>
      <c r="I39" s="171"/>
    </row>
    <row r="40" spans="1:9" ht="19.95" customHeight="1" thickTop="1">
      <c r="A40" s="166" t="s">
        <v>133</v>
      </c>
      <c r="B40" s="373"/>
      <c r="C40" s="374"/>
      <c r="D40" s="375"/>
      <c r="E40" s="167">
        <f>SUM(E18:E39)</f>
        <v>1000</v>
      </c>
      <c r="F40" s="167">
        <f>SUM(F18:F39)</f>
        <v>0</v>
      </c>
      <c r="G40" s="167">
        <f>SUM(G18:G39)</f>
        <v>0</v>
      </c>
      <c r="H40" s="167">
        <f>SUM(H18:H39)</f>
        <v>0</v>
      </c>
      <c r="I40" s="168"/>
    </row>
    <row r="41" spans="1:9" ht="18" customHeight="1">
      <c r="A41" s="163" t="s">
        <v>188</v>
      </c>
    </row>
    <row r="42" spans="1:9" ht="18" customHeight="1"/>
    <row r="43" spans="1:9" ht="18" customHeight="1">
      <c r="A43" s="147" t="s">
        <v>189</v>
      </c>
    </row>
    <row r="44" spans="1:9" ht="12" customHeight="1">
      <c r="B44" s="155" t="s">
        <v>190</v>
      </c>
      <c r="C44" s="155"/>
      <c r="D44" s="155"/>
      <c r="E44" s="155" t="s">
        <v>191</v>
      </c>
      <c r="F44" s="155"/>
      <c r="G44" s="155"/>
      <c r="H44" s="155"/>
      <c r="I44" s="155"/>
    </row>
    <row r="45" spans="1:9" ht="18" customHeight="1">
      <c r="B45" s="366" t="s">
        <v>192</v>
      </c>
      <c r="C45" s="366"/>
      <c r="D45" s="366"/>
      <c r="E45" s="376"/>
      <c r="F45" s="376"/>
      <c r="G45" s="376"/>
      <c r="H45" s="376"/>
      <c r="I45" s="376"/>
    </row>
    <row r="46" spans="1:9" ht="6" customHeight="1"/>
    <row r="47" spans="1:9" ht="18" customHeight="1">
      <c r="B47" s="366" t="s">
        <v>193</v>
      </c>
      <c r="C47" s="366"/>
      <c r="D47" s="366"/>
      <c r="E47" s="376"/>
      <c r="F47" s="369"/>
      <c r="G47" s="369"/>
      <c r="H47" s="369"/>
      <c r="I47" s="369"/>
    </row>
    <row r="48" spans="1:9" ht="6" customHeight="1"/>
    <row r="49" spans="1:19" ht="18" customHeight="1">
      <c r="B49" s="366" t="s">
        <v>194</v>
      </c>
      <c r="C49" s="366"/>
      <c r="D49" s="366"/>
      <c r="E49" s="367"/>
      <c r="F49" s="368"/>
      <c r="G49" s="368"/>
      <c r="H49" s="368"/>
      <c r="I49" s="368"/>
    </row>
    <row r="50" spans="1:19" ht="6" customHeight="1"/>
    <row r="51" spans="1:19" ht="12" customHeight="1">
      <c r="B51" s="155" t="s">
        <v>190</v>
      </c>
      <c r="E51" s="155" t="s">
        <v>191</v>
      </c>
    </row>
    <row r="52" spans="1:19" ht="18" customHeight="1">
      <c r="B52" s="366" t="s">
        <v>195</v>
      </c>
      <c r="C52" s="366"/>
      <c r="D52" s="366"/>
      <c r="E52" s="369"/>
      <c r="F52" s="369"/>
      <c r="G52" s="369"/>
      <c r="H52" s="369"/>
      <c r="I52" s="369"/>
    </row>
    <row r="53" spans="1:19" ht="18" customHeight="1"/>
    <row r="54" spans="1:19" ht="18" customHeight="1">
      <c r="A54" s="147" t="s">
        <v>196</v>
      </c>
    </row>
    <row r="55" spans="1:19" ht="18" customHeight="1">
      <c r="A55" s="147" t="s">
        <v>197</v>
      </c>
    </row>
    <row r="57" spans="1:19" ht="13.8" thickBot="1">
      <c r="R57" s="148" t="s">
        <v>198</v>
      </c>
    </row>
    <row r="58" spans="1:19">
      <c r="R58" s="156" t="s">
        <v>199</v>
      </c>
      <c r="S58" s="157" t="s">
        <v>200</v>
      </c>
    </row>
    <row r="59" spans="1:19">
      <c r="R59" s="158">
        <v>10</v>
      </c>
      <c r="S59" s="159">
        <v>2</v>
      </c>
    </row>
    <row r="60" spans="1:19">
      <c r="R60" s="158">
        <v>11</v>
      </c>
      <c r="S60" s="159">
        <v>8</v>
      </c>
    </row>
    <row r="61" spans="1:19">
      <c r="R61" s="158">
        <v>12</v>
      </c>
      <c r="S61" s="159">
        <v>14</v>
      </c>
    </row>
    <row r="62" spans="1:19">
      <c r="R62" s="158">
        <v>1</v>
      </c>
      <c r="S62" s="159">
        <v>20</v>
      </c>
    </row>
    <row r="63" spans="1:19">
      <c r="R63" s="158">
        <v>2</v>
      </c>
      <c r="S63" s="159">
        <v>26</v>
      </c>
    </row>
    <row r="64" spans="1:19">
      <c r="R64" s="158">
        <v>3</v>
      </c>
      <c r="S64" s="159">
        <v>32</v>
      </c>
    </row>
    <row r="65" spans="18:19">
      <c r="R65" s="158">
        <v>4</v>
      </c>
      <c r="S65" s="159">
        <v>38</v>
      </c>
    </row>
    <row r="66" spans="18:19">
      <c r="R66" s="158">
        <v>5</v>
      </c>
      <c r="S66" s="159">
        <v>44</v>
      </c>
    </row>
    <row r="67" spans="18:19" ht="13.8" thickBot="1">
      <c r="R67" s="160">
        <v>6</v>
      </c>
      <c r="S67" s="161">
        <v>50</v>
      </c>
    </row>
  </sheetData>
  <sheetProtection formatCells="0" formatColumns="0" formatRows="0" insertColumns="0" insertRows="0" insertHyperlinks="0" deleteColumns="0" deleteRows="0" sort="0" autoFilter="0" pivotTables="0"/>
  <mergeCells count="38">
    <mergeCell ref="A16:A17"/>
    <mergeCell ref="B16:D17"/>
    <mergeCell ref="A13:I13"/>
    <mergeCell ref="B32:D32"/>
    <mergeCell ref="F9:I10"/>
    <mergeCell ref="B34:D34"/>
    <mergeCell ref="B18:D18"/>
    <mergeCell ref="B19:D19"/>
    <mergeCell ref="B20:D20"/>
    <mergeCell ref="B28:D28"/>
    <mergeCell ref="B21:D21"/>
    <mergeCell ref="B22:D22"/>
    <mergeCell ref="B23:D23"/>
    <mergeCell ref="B24:D24"/>
    <mergeCell ref="B25:D25"/>
    <mergeCell ref="B26:D26"/>
    <mergeCell ref="B27:D27"/>
    <mergeCell ref="E49:I49"/>
    <mergeCell ref="B52:D52"/>
    <mergeCell ref="E52:I52"/>
    <mergeCell ref="H3:I3"/>
    <mergeCell ref="E16:H16"/>
    <mergeCell ref="I16:I17"/>
    <mergeCell ref="B40:D40"/>
    <mergeCell ref="B45:D45"/>
    <mergeCell ref="E45:I45"/>
    <mergeCell ref="B47:D47"/>
    <mergeCell ref="E47:I47"/>
    <mergeCell ref="B39:D39"/>
    <mergeCell ref="B29:D29"/>
    <mergeCell ref="B30:D30"/>
    <mergeCell ref="B31:D31"/>
    <mergeCell ref="B33:D33"/>
    <mergeCell ref="B35:D35"/>
    <mergeCell ref="B36:D36"/>
    <mergeCell ref="B37:D37"/>
    <mergeCell ref="B38:D38"/>
    <mergeCell ref="B49:D49"/>
  </mergeCells>
  <phoneticPr fontId="6"/>
  <printOptions horizontalCentered="1"/>
  <pageMargins left="0.59055118110236227" right="0.59055118110236227" top="0.59055118110236227" bottom="0.59055118110236227" header="0.31496062992125984" footer="0.31496062992125984"/>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z o T T W B o a 9 R O m A A A A 9 w A A A B I A H A B D b 2 5 m a W c v U G F j a 2 F n Z S 5 4 b W w g o h g A K K A U A A A A A A A A A A A A A A A A A A A A A A A A A A A A h Y + x D o I w G I R f h X S n L c X B k J 8 y u B l J S E y M a 1 M q V K E Y W i z v 5 u A j + Q p i F H V z v L v v k r v 7 9 Q b Z 2 D b B R f V W d y Z F E a Y o U E Z 2 p T Z V i g Z 3 C J c o 4 1 A I e R K V C i b Y 2 G S 0 O k W 1 c + e E E O 8 9 9 j H u + o o w S i O y z z d b W a t W h N p Y J 4 x U 6 N M q / 7 c Q h 9 1 r D G c 4 i h a Y M R Z j C m R 2 I d f m S 7 B p 8 D P 9 M W E 1 N G 7 o F T + K c F 0 A m S W Q 9 w n + A F B L A w Q U A A I A C A D O h N N 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o T T W C i K R 7 g O A A A A E Q A A A B M A H A B G b 3 J t d W x h c y 9 T Z W N 0 a W 9 u M S 5 t I K I Y A C i g F A A A A A A A A A A A A A A A A A A A A A A A A A A A A C t O T S 7 J z M 9 T C I b Q h t Y A U E s B A i 0 A F A A C A A g A z o T T W B o a 9 R O m A A A A 9 w A A A B I A A A A A A A A A A A A A A A A A A A A A A E N v b m Z p Z y 9 Q Y W N r Y W d l L n h t b F B L A Q I t A B Q A A g A I A M 6 E 0 1 g P y u m r p A A A A O k A A A A T A A A A A A A A A A A A A A A A A P I A A A B b Q 2 9 u d G V u d F 9 U e X B l c 1 0 u e G 1 s U E s B A i 0 A F A A C A A g A z o T T W 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B 6 3 x d + 7 l j V M q F k h W u 7 a D r s A A A A A A g A A A A A A A 2 Y A A M A A A A A Q A A A A o R s 6 T G 1 J T k 2 9 i I v W l x / C 9 Q A A A A A E g A A A o A A A A B A A A A D n V 3 r q 8 Y d i 3 u p t l m H i W 0 f W U A A A A E 0 o r q r H F I T H e R O X 5 f b 6 R H J Y a O V Q C q x L 0 N F x T J J t k V S b T r 1 L G a H L G I N B I G q 1 u l 8 t M P B 9 l a v c 0 2 n r p I S 5 m M l T 7 8 v + v m R 7 W 3 p Z l Q k z 6 v b l l c / N F A A A A J a b 6 o 4 H 3 F 2 m R W C c M Z 7 N n U c R 5 5 t B < / D a t a M a s h u p > 
</file>

<file path=customXml/itemProps1.xml><?xml version="1.0" encoding="utf-8"?>
<ds:datastoreItem xmlns:ds="http://schemas.openxmlformats.org/officeDocument/2006/customXml" ds:itemID="{6FCEF792-6306-4D1B-9BA6-A0A196DDB21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はじめに読んでください</vt:lpstr>
      <vt:lpstr>管理シート（本体）</vt:lpstr>
      <vt:lpstr>購入実績入力</vt:lpstr>
      <vt:lpstr>購入実績確認</vt:lpstr>
      <vt:lpstr>実績報告書_R8.10</vt:lpstr>
      <vt:lpstr>'管理シート（本体）'!Print_Area</vt:lpstr>
      <vt:lpstr>購入実績入力!Print_Area</vt:lpstr>
      <vt:lpstr>実績報告書_R8.10!Print_Area</vt:lpstr>
      <vt:lpstr>'管理シート（本体）'!Print_Titles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2026-05-13T08:18:04Z</dcterms:modified>
  <cp:category/>
  <cp:contentStatus/>
</cp:coreProperties>
</file>